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80" yWindow="420" windowWidth="15600" windowHeight="7125"/>
  </bookViews>
  <sheets>
    <sheet name="Family Calendar" sheetId="4" r:id="rId1"/>
    <sheet name="Sheet1" sheetId="5" r:id="rId2"/>
  </sheets>
  <definedNames>
    <definedName name="_xlnm._FilterDatabase" localSheetId="1" hidden="1">Sheet1!$A$1:$E$203</definedName>
    <definedName name="AprSun1">DATE(CalendarYear,4,1)-WEEKDAY(DATE(CalendarYear,4,1))</definedName>
    <definedName name="AugSun1">DATE(CalendarYear,8,1)-WEEKDAY(DATE(CalendarYear,8,1))</definedName>
    <definedName name="CalendarYear">'Family Calendar'!$AE$3</definedName>
    <definedName name="DecSun1">DATE(CalendarYear,12,1)-WEEKDAY(DATE(CalendarYear,12,1))</definedName>
    <definedName name="FebSun1">DATE(CalendarYear,2,1)-WEEKDAY(DATE(CalendarYear,2,1))</definedName>
    <definedName name="ImportantDates">'Family Calendar'!$D$6:$G$20</definedName>
    <definedName name="JanSun1">DATE(CalendarYear,1,1)-WEEKDAY(DATE(CalendarYear,1,1))</definedName>
    <definedName name="JulSun1">DATE(CalendarYear,7,1)-WEEKDAY(DATE(CalendarYear,7,1))</definedName>
    <definedName name="JunSun1">DATE(CalendarYear,6,1)-WEEKDAY(DATE(CalendarYear,6,1))</definedName>
    <definedName name="MarSun1">DATE(CalendarYear,3,1)-WEEKDAY(DATE(CalendarYear,3,1))</definedName>
    <definedName name="MaySun1">DATE(CalendarYear,5,1)-WEEKDAY(DATE(CalendarYear,5,1))</definedName>
    <definedName name="NovSun1">DATE(CalendarYear,11,1)-WEEKDAY(DATE(CalendarYear,11,1))</definedName>
    <definedName name="OctSun1">DATE(CalendarYear,10,1)-WEEKDAY(DATE(CalendarYear,10,1))</definedName>
    <definedName name="_xlnm.Print_Area" localSheetId="0">'Family Calendar'!$B$23:$AK$57</definedName>
    <definedName name="SepSun1">DATE(CalendarYear,9,1)-WEEKDAY(DATE(CalendarYear,9,1))</definedName>
  </definedNames>
  <calcPr calcId="145621"/>
</workbook>
</file>

<file path=xl/calcChain.xml><?xml version="1.0" encoding="utf-8"?>
<calcChain xmlns="http://schemas.openxmlformats.org/spreadsheetml/2006/main">
  <c r="C28" i="4" l="1"/>
  <c r="AJ56" i="4" l="1"/>
  <c r="AI56" i="4"/>
  <c r="AH56" i="4"/>
  <c r="AG56" i="4"/>
  <c r="AF56" i="4"/>
  <c r="AE56" i="4"/>
  <c r="AD56" i="4"/>
  <c r="AJ55" i="4"/>
  <c r="AI55" i="4"/>
  <c r="AH55" i="4"/>
  <c r="AG55" i="4"/>
  <c r="AF55" i="4"/>
  <c r="AE55" i="4"/>
  <c r="AD55" i="4"/>
  <c r="AJ54" i="4"/>
  <c r="AI54" i="4"/>
  <c r="AH54" i="4"/>
  <c r="AG54" i="4"/>
  <c r="AF54" i="4"/>
  <c r="AE54" i="4"/>
  <c r="AD54" i="4"/>
  <c r="AJ53" i="4"/>
  <c r="AI53" i="4"/>
  <c r="AH53" i="4"/>
  <c r="AG53" i="4"/>
  <c r="AF53" i="4"/>
  <c r="AE53" i="4"/>
  <c r="AD53" i="4"/>
  <c r="AJ52" i="4"/>
  <c r="AI52" i="4"/>
  <c r="AH52" i="4"/>
  <c r="AG52" i="4"/>
  <c r="AF52" i="4"/>
  <c r="AE52" i="4"/>
  <c r="AD52" i="4"/>
  <c r="AJ51" i="4"/>
  <c r="AI51" i="4"/>
  <c r="AH51" i="4"/>
  <c r="AG51" i="4"/>
  <c r="AF51" i="4"/>
  <c r="AE51" i="4"/>
  <c r="AD51" i="4"/>
  <c r="AA56" i="4"/>
  <c r="Z56" i="4"/>
  <c r="Y56" i="4"/>
  <c r="X56" i="4"/>
  <c r="W56" i="4"/>
  <c r="V56" i="4"/>
  <c r="U56" i="4"/>
  <c r="AA55" i="4"/>
  <c r="Z55" i="4"/>
  <c r="Y55" i="4"/>
  <c r="X55" i="4"/>
  <c r="W55" i="4"/>
  <c r="V55" i="4"/>
  <c r="U55" i="4"/>
  <c r="AA54" i="4"/>
  <c r="Z54" i="4"/>
  <c r="Y54" i="4"/>
  <c r="X54" i="4"/>
  <c r="W54" i="4"/>
  <c r="V54" i="4"/>
  <c r="U54" i="4"/>
  <c r="AA53" i="4"/>
  <c r="Z53" i="4"/>
  <c r="Y53" i="4"/>
  <c r="X53" i="4"/>
  <c r="W53" i="4"/>
  <c r="V53" i="4"/>
  <c r="U53" i="4"/>
  <c r="AA52" i="4"/>
  <c r="Z52" i="4"/>
  <c r="Y52" i="4"/>
  <c r="X52" i="4"/>
  <c r="W52" i="4"/>
  <c r="V52" i="4"/>
  <c r="U52" i="4"/>
  <c r="AA51" i="4"/>
  <c r="Z51" i="4"/>
  <c r="Y51" i="4"/>
  <c r="X51" i="4"/>
  <c r="W51" i="4"/>
  <c r="V51" i="4"/>
  <c r="U51" i="4"/>
  <c r="R56" i="4"/>
  <c r="Q56" i="4"/>
  <c r="P56" i="4"/>
  <c r="O56" i="4"/>
  <c r="N56" i="4"/>
  <c r="M56" i="4"/>
  <c r="L56" i="4"/>
  <c r="R55" i="4"/>
  <c r="Q55" i="4"/>
  <c r="P55" i="4"/>
  <c r="O55" i="4"/>
  <c r="N55" i="4"/>
  <c r="M55" i="4"/>
  <c r="L55" i="4"/>
  <c r="R54" i="4"/>
  <c r="Q54" i="4"/>
  <c r="P54" i="4"/>
  <c r="O54" i="4"/>
  <c r="N54" i="4"/>
  <c r="M54" i="4"/>
  <c r="L54" i="4"/>
  <c r="R53" i="4"/>
  <c r="Q53" i="4"/>
  <c r="P53" i="4"/>
  <c r="O53" i="4"/>
  <c r="N53" i="4"/>
  <c r="M53" i="4"/>
  <c r="L53" i="4"/>
  <c r="R52" i="4"/>
  <c r="Q52" i="4"/>
  <c r="P52" i="4"/>
  <c r="O52" i="4"/>
  <c r="N52" i="4"/>
  <c r="M52" i="4"/>
  <c r="L52" i="4"/>
  <c r="R51" i="4"/>
  <c r="Q51" i="4"/>
  <c r="P51" i="4"/>
  <c r="O51" i="4"/>
  <c r="N51" i="4"/>
  <c r="M51" i="4"/>
  <c r="L51" i="4"/>
  <c r="I56" i="4"/>
  <c r="H56" i="4"/>
  <c r="G56" i="4"/>
  <c r="F56" i="4"/>
  <c r="E56" i="4"/>
  <c r="D56" i="4"/>
  <c r="C56" i="4"/>
  <c r="I55" i="4"/>
  <c r="H55" i="4"/>
  <c r="G55" i="4"/>
  <c r="F55" i="4"/>
  <c r="E55" i="4"/>
  <c r="D55" i="4"/>
  <c r="C55" i="4"/>
  <c r="I54" i="4"/>
  <c r="H54" i="4"/>
  <c r="G54" i="4"/>
  <c r="F54" i="4"/>
  <c r="E54" i="4"/>
  <c r="D54" i="4"/>
  <c r="C54" i="4"/>
  <c r="I53" i="4"/>
  <c r="H53" i="4"/>
  <c r="G53" i="4"/>
  <c r="F53" i="4"/>
  <c r="E53" i="4"/>
  <c r="D53" i="4"/>
  <c r="C53" i="4"/>
  <c r="I52" i="4"/>
  <c r="H52" i="4"/>
  <c r="G52" i="4"/>
  <c r="F52" i="4"/>
  <c r="E52" i="4"/>
  <c r="D52" i="4"/>
  <c r="C52" i="4"/>
  <c r="I51" i="4"/>
  <c r="H51" i="4"/>
  <c r="G51" i="4"/>
  <c r="F51" i="4"/>
  <c r="E51" i="4"/>
  <c r="D51" i="4"/>
  <c r="C51" i="4"/>
  <c r="AJ47" i="4"/>
  <c r="AI47" i="4"/>
  <c r="AH47" i="4"/>
  <c r="AG47" i="4"/>
  <c r="AF47" i="4"/>
  <c r="AE47" i="4"/>
  <c r="AD47" i="4"/>
  <c r="AJ46" i="4"/>
  <c r="AI46" i="4"/>
  <c r="AH46" i="4"/>
  <c r="AG46" i="4"/>
  <c r="AF46" i="4"/>
  <c r="AE46" i="4"/>
  <c r="AD46" i="4"/>
  <c r="AJ45" i="4"/>
  <c r="AI45" i="4"/>
  <c r="AH45" i="4"/>
  <c r="AG45" i="4"/>
  <c r="AF45" i="4"/>
  <c r="AE45" i="4"/>
  <c r="AD45" i="4"/>
  <c r="AJ44" i="4"/>
  <c r="AI44" i="4"/>
  <c r="AH44" i="4"/>
  <c r="AG44" i="4"/>
  <c r="AF44" i="4"/>
  <c r="AE44" i="4"/>
  <c r="AD44" i="4"/>
  <c r="AJ43" i="4"/>
  <c r="AI43" i="4"/>
  <c r="AH43" i="4"/>
  <c r="AG43" i="4"/>
  <c r="AF43" i="4"/>
  <c r="AE43" i="4"/>
  <c r="AD43" i="4"/>
  <c r="AJ42" i="4"/>
  <c r="AI42" i="4"/>
  <c r="AH42" i="4"/>
  <c r="AG42" i="4"/>
  <c r="AF42" i="4"/>
  <c r="AE42" i="4"/>
  <c r="AD42" i="4"/>
  <c r="AA47" i="4"/>
  <c r="Z47" i="4"/>
  <c r="Y47" i="4"/>
  <c r="X47" i="4"/>
  <c r="W47" i="4"/>
  <c r="V47" i="4"/>
  <c r="U47" i="4"/>
  <c r="AA46" i="4"/>
  <c r="Z46" i="4"/>
  <c r="Y46" i="4"/>
  <c r="X46" i="4"/>
  <c r="W46" i="4"/>
  <c r="V46" i="4"/>
  <c r="U46" i="4"/>
  <c r="AA45" i="4"/>
  <c r="Z45" i="4"/>
  <c r="Y45" i="4"/>
  <c r="X45" i="4"/>
  <c r="W45" i="4"/>
  <c r="V45" i="4"/>
  <c r="U45" i="4"/>
  <c r="AA44" i="4"/>
  <c r="Z44" i="4"/>
  <c r="Y44" i="4"/>
  <c r="X44" i="4"/>
  <c r="W44" i="4"/>
  <c r="V44" i="4"/>
  <c r="U44" i="4"/>
  <c r="AA43" i="4"/>
  <c r="Z43" i="4"/>
  <c r="Y43" i="4"/>
  <c r="X43" i="4"/>
  <c r="W43" i="4"/>
  <c r="V43" i="4"/>
  <c r="U43" i="4"/>
  <c r="AA42" i="4"/>
  <c r="Z42" i="4"/>
  <c r="Y42" i="4"/>
  <c r="X42" i="4"/>
  <c r="W42" i="4"/>
  <c r="V42" i="4"/>
  <c r="U42" i="4"/>
  <c r="R47" i="4"/>
  <c r="Q47" i="4"/>
  <c r="P47" i="4"/>
  <c r="O47" i="4"/>
  <c r="N47" i="4"/>
  <c r="M47" i="4"/>
  <c r="L47" i="4"/>
  <c r="R46" i="4"/>
  <c r="Q46" i="4"/>
  <c r="P46" i="4"/>
  <c r="O46" i="4"/>
  <c r="N46" i="4"/>
  <c r="M46" i="4"/>
  <c r="L46" i="4"/>
  <c r="R45" i="4"/>
  <c r="Q45" i="4"/>
  <c r="P45" i="4"/>
  <c r="O45" i="4"/>
  <c r="N45" i="4"/>
  <c r="M45" i="4"/>
  <c r="L45" i="4"/>
  <c r="R44" i="4"/>
  <c r="Q44" i="4"/>
  <c r="P44" i="4"/>
  <c r="O44" i="4"/>
  <c r="N44" i="4"/>
  <c r="M44" i="4"/>
  <c r="L44" i="4"/>
  <c r="R43" i="4"/>
  <c r="Q43" i="4"/>
  <c r="P43" i="4"/>
  <c r="O43" i="4"/>
  <c r="N43" i="4"/>
  <c r="M43" i="4"/>
  <c r="L43" i="4"/>
  <c r="R42" i="4"/>
  <c r="Q42" i="4"/>
  <c r="P42" i="4"/>
  <c r="O42" i="4"/>
  <c r="N42" i="4"/>
  <c r="M42" i="4"/>
  <c r="L42" i="4"/>
  <c r="I47" i="4"/>
  <c r="H47" i="4"/>
  <c r="G47" i="4"/>
  <c r="F47" i="4"/>
  <c r="E47" i="4"/>
  <c r="D47" i="4"/>
  <c r="C47" i="4"/>
  <c r="I46" i="4"/>
  <c r="H46" i="4"/>
  <c r="G46" i="4"/>
  <c r="F46" i="4"/>
  <c r="E46" i="4"/>
  <c r="D46" i="4"/>
  <c r="C46" i="4"/>
  <c r="I45" i="4"/>
  <c r="H45" i="4"/>
  <c r="G45" i="4"/>
  <c r="F45" i="4"/>
  <c r="E45" i="4"/>
  <c r="D45" i="4"/>
  <c r="C45" i="4"/>
  <c r="I44" i="4"/>
  <c r="H44" i="4"/>
  <c r="G44" i="4"/>
  <c r="F44" i="4"/>
  <c r="E44" i="4"/>
  <c r="D44" i="4"/>
  <c r="C44" i="4"/>
  <c r="I43" i="4"/>
  <c r="H43" i="4"/>
  <c r="G43" i="4"/>
  <c r="F43" i="4"/>
  <c r="E43" i="4"/>
  <c r="D43" i="4"/>
  <c r="C43" i="4"/>
  <c r="I42" i="4"/>
  <c r="H42" i="4"/>
  <c r="G42" i="4"/>
  <c r="F42" i="4"/>
  <c r="E42" i="4"/>
  <c r="D42" i="4"/>
  <c r="C42" i="4"/>
  <c r="AJ38" i="4"/>
  <c r="AI38" i="4"/>
  <c r="AH38" i="4"/>
  <c r="AG38" i="4"/>
  <c r="AF38" i="4"/>
  <c r="AE38" i="4"/>
  <c r="AD38" i="4"/>
  <c r="AJ37" i="4"/>
  <c r="AI37" i="4"/>
  <c r="AH37" i="4"/>
  <c r="AG37" i="4"/>
  <c r="AF37" i="4"/>
  <c r="AE37" i="4"/>
  <c r="AD37" i="4"/>
  <c r="AJ36" i="4"/>
  <c r="AI36" i="4"/>
  <c r="AH36" i="4"/>
  <c r="AG36" i="4"/>
  <c r="AF36" i="4"/>
  <c r="AE36" i="4"/>
  <c r="AD36" i="4"/>
  <c r="AJ35" i="4"/>
  <c r="AI35" i="4"/>
  <c r="AH35" i="4"/>
  <c r="AG35" i="4"/>
  <c r="AF35" i="4"/>
  <c r="AE35" i="4"/>
  <c r="AD35" i="4"/>
  <c r="AJ34" i="4"/>
  <c r="AI34" i="4"/>
  <c r="AH34" i="4"/>
  <c r="AG34" i="4"/>
  <c r="AF34" i="4"/>
  <c r="AE34" i="4"/>
  <c r="AD34" i="4"/>
  <c r="AJ33" i="4"/>
  <c r="AI33" i="4"/>
  <c r="AH33" i="4"/>
  <c r="AG33" i="4"/>
  <c r="AF33" i="4"/>
  <c r="AE33" i="4"/>
  <c r="AD33" i="4"/>
  <c r="AA38" i="4"/>
  <c r="Z38" i="4"/>
  <c r="Y38" i="4"/>
  <c r="X38" i="4"/>
  <c r="W38" i="4"/>
  <c r="V38" i="4"/>
  <c r="U38" i="4"/>
  <c r="AA37" i="4"/>
  <c r="Z37" i="4"/>
  <c r="Y37" i="4"/>
  <c r="X37" i="4"/>
  <c r="W37" i="4"/>
  <c r="V37" i="4"/>
  <c r="U37" i="4"/>
  <c r="AA36" i="4"/>
  <c r="Z36" i="4"/>
  <c r="Y36" i="4"/>
  <c r="X36" i="4"/>
  <c r="W36" i="4"/>
  <c r="V36" i="4"/>
  <c r="U36" i="4"/>
  <c r="AA35" i="4"/>
  <c r="Z35" i="4"/>
  <c r="Y35" i="4"/>
  <c r="X35" i="4"/>
  <c r="W35" i="4"/>
  <c r="V35" i="4"/>
  <c r="U35" i="4"/>
  <c r="AA34" i="4"/>
  <c r="Z34" i="4"/>
  <c r="Y34" i="4"/>
  <c r="X34" i="4"/>
  <c r="W34" i="4"/>
  <c r="V34" i="4"/>
  <c r="U34" i="4"/>
  <c r="AA33" i="4"/>
  <c r="Z33" i="4"/>
  <c r="Y33" i="4"/>
  <c r="X33" i="4"/>
  <c r="W33" i="4"/>
  <c r="V33" i="4"/>
  <c r="U33" i="4"/>
  <c r="R38" i="4"/>
  <c r="Q38" i="4"/>
  <c r="P38" i="4"/>
  <c r="O38" i="4"/>
  <c r="N38" i="4"/>
  <c r="M38" i="4"/>
  <c r="L38" i="4"/>
  <c r="R37" i="4"/>
  <c r="Q37" i="4"/>
  <c r="P37" i="4"/>
  <c r="O37" i="4"/>
  <c r="N37" i="4"/>
  <c r="M37" i="4"/>
  <c r="L37" i="4"/>
  <c r="R36" i="4"/>
  <c r="Q36" i="4"/>
  <c r="P36" i="4"/>
  <c r="O36" i="4"/>
  <c r="N36" i="4"/>
  <c r="M36" i="4"/>
  <c r="L36" i="4"/>
  <c r="R35" i="4"/>
  <c r="Q35" i="4"/>
  <c r="P35" i="4"/>
  <c r="O35" i="4"/>
  <c r="N35" i="4"/>
  <c r="M35" i="4"/>
  <c r="L35" i="4"/>
  <c r="R34" i="4"/>
  <c r="Q34" i="4"/>
  <c r="P34" i="4"/>
  <c r="O34" i="4"/>
  <c r="N34" i="4"/>
  <c r="M34" i="4"/>
  <c r="L34" i="4"/>
  <c r="R33" i="4"/>
  <c r="Q33" i="4"/>
  <c r="P33" i="4"/>
  <c r="O33" i="4"/>
  <c r="N33" i="4"/>
  <c r="M33" i="4"/>
  <c r="L33" i="4"/>
  <c r="I38" i="4"/>
  <c r="H38" i="4"/>
  <c r="G38" i="4"/>
  <c r="F38" i="4"/>
  <c r="E38" i="4"/>
  <c r="D38" i="4"/>
  <c r="C38" i="4"/>
  <c r="I37" i="4"/>
  <c r="H37" i="4"/>
  <c r="G37" i="4"/>
  <c r="F37" i="4"/>
  <c r="E37" i="4"/>
  <c r="D37" i="4"/>
  <c r="C37" i="4"/>
  <c r="I36" i="4"/>
  <c r="H36" i="4"/>
  <c r="G36" i="4"/>
  <c r="F36" i="4"/>
  <c r="E36" i="4"/>
  <c r="D36" i="4"/>
  <c r="C36" i="4"/>
  <c r="I35" i="4"/>
  <c r="H35" i="4"/>
  <c r="G35" i="4"/>
  <c r="F35" i="4"/>
  <c r="E35" i="4"/>
  <c r="D35" i="4"/>
  <c r="C35" i="4"/>
  <c r="I34" i="4"/>
  <c r="H34" i="4"/>
  <c r="G34" i="4"/>
  <c r="F34" i="4"/>
  <c r="E34" i="4"/>
  <c r="D34" i="4"/>
  <c r="C34" i="4"/>
  <c r="I33" i="4"/>
  <c r="H33" i="4"/>
  <c r="G33" i="4"/>
  <c r="F33" i="4"/>
  <c r="E33" i="4"/>
  <c r="D33" i="4"/>
  <c r="C33" i="4"/>
  <c r="AD49" i="4"/>
  <c r="U49" i="4"/>
  <c r="L49" i="4"/>
  <c r="C49" i="4"/>
  <c r="AD40" i="4"/>
  <c r="U40" i="4"/>
  <c r="L40" i="4"/>
  <c r="C40" i="4"/>
  <c r="AD31" i="4"/>
  <c r="U31" i="4"/>
  <c r="L31" i="4"/>
  <c r="C31" i="4"/>
</calcChain>
</file>

<file path=xl/sharedStrings.xml><?xml version="1.0" encoding="utf-8"?>
<sst xmlns="http://schemas.openxmlformats.org/spreadsheetml/2006/main" count="773" uniqueCount="263">
  <si>
    <t>New Year's Day</t>
  </si>
  <si>
    <t>Important Dates</t>
  </si>
  <si>
    <t>Notes</t>
  </si>
  <si>
    <t>S</t>
  </si>
  <si>
    <t>M</t>
  </si>
  <si>
    <t>T</t>
  </si>
  <si>
    <t>W</t>
  </si>
  <si>
    <t>F</t>
  </si>
  <si>
    <t>Jordan's Birthday</t>
  </si>
  <si>
    <t>The Smith Family Calendar</t>
  </si>
  <si>
    <t>Date</t>
  </si>
  <si>
    <t>Weekday</t>
  </si>
  <si>
    <t>Holiday name</t>
  </si>
  <si>
    <t>Holiday type</t>
  </si>
  <si>
    <t>Where it is observed</t>
  </si>
  <si>
    <t>Thursday</t>
  </si>
  <si>
    <t>National holiday</t>
  </si>
  <si>
    <t>Saturday</t>
  </si>
  <si>
    <t>The Prophet's Birthday</t>
  </si>
  <si>
    <t>Muslim</t>
  </si>
  <si>
    <t>Tuesday</t>
  </si>
  <si>
    <t>Epiphany</t>
  </si>
  <si>
    <t>Christian</t>
  </si>
  <si>
    <t>Wednesday</t>
  </si>
  <si>
    <t>Orthodox Christmas Day</t>
  </si>
  <si>
    <t>Orthodox</t>
  </si>
  <si>
    <t>Stephen Foster Memorial Day</t>
  </si>
  <si>
    <t>Observance</t>
  </si>
  <si>
    <t>Orthodox New Year</t>
  </si>
  <si>
    <t>Friday</t>
  </si>
  <si>
    <t>Lee Jackson Day</t>
  </si>
  <si>
    <t>State holiday</t>
  </si>
  <si>
    <t>Virginia</t>
  </si>
  <si>
    <t>Monday</t>
  </si>
  <si>
    <t>Martin Luther King Day</t>
  </si>
  <si>
    <t>Robert E Lee's Birthday</t>
  </si>
  <si>
    <t>AL, AR, MS</t>
  </si>
  <si>
    <t>Florida</t>
  </si>
  <si>
    <t>Confederate Memorial Day</t>
  </si>
  <si>
    <t>Texas</t>
  </si>
  <si>
    <t>Idaho Human Rights Day</t>
  </si>
  <si>
    <t>Idaho</t>
  </si>
  <si>
    <t>Civil Rights Day</t>
  </si>
  <si>
    <t>Arizona, New Hampshire</t>
  </si>
  <si>
    <t>Kansas Day</t>
  </si>
  <si>
    <t>Sunday</t>
  </si>
  <si>
    <t>National Freedom Day</t>
  </si>
  <si>
    <t>Groundhog Day</t>
  </si>
  <si>
    <t>Tu Bishvat/Tu B'Shevat</t>
  </si>
  <si>
    <t>Jewish holiday</t>
  </si>
  <si>
    <t>Rosa Parks Day</t>
  </si>
  <si>
    <t>Local observance</t>
  </si>
  <si>
    <t>California, Ohio</t>
  </si>
  <si>
    <t>National Wear Red Day</t>
  </si>
  <si>
    <t>Lincoln's Birthday</t>
  </si>
  <si>
    <t>CT, IL, MO, NY</t>
  </si>
  <si>
    <t>Valentine's Day</t>
  </si>
  <si>
    <t>Susan B Anthony's Birthday</t>
  </si>
  <si>
    <t>CA, FL, NY, WI</t>
  </si>
  <si>
    <t>Presidents' Day (Washington's Birthday)</t>
  </si>
  <si>
    <t>Daisy Gatson Bates Day</t>
  </si>
  <si>
    <t>Arkansas</t>
  </si>
  <si>
    <t>Shrove Tuesday/Mardi Gras</t>
  </si>
  <si>
    <t>Alabama, Louisiana</t>
  </si>
  <si>
    <t>Ash Wednesday</t>
  </si>
  <si>
    <t>Chinese New Year</t>
  </si>
  <si>
    <t>St. David's Day</t>
  </si>
  <si>
    <t>Texas Independence Day</t>
  </si>
  <si>
    <t>Casimir Pulaski Day</t>
  </si>
  <si>
    <t>Illinois</t>
  </si>
  <si>
    <t>Read Across America Day</t>
  </si>
  <si>
    <t>Town Meeting Day Vermont</t>
  </si>
  <si>
    <t>Purim</t>
  </si>
  <si>
    <t>Employee Appreciation Day</t>
  </si>
  <si>
    <t>Daylight Saving Time starts</t>
  </si>
  <si>
    <t>Clock change/Daylight Saving Time</t>
  </si>
  <si>
    <t>St. Patrick's Day</t>
  </si>
  <si>
    <t>Evacuation Day</t>
  </si>
  <si>
    <t>Massachusetts</t>
  </si>
  <si>
    <t>March equinox</t>
  </si>
  <si>
    <t>Season</t>
  </si>
  <si>
    <t>Maryland Day</t>
  </si>
  <si>
    <t>Maryland</t>
  </si>
  <si>
    <t>Prince Jonah Kuhio Kalanianaole Day</t>
  </si>
  <si>
    <t>Hawaii</t>
  </si>
  <si>
    <t>Palm Sunday</t>
  </si>
  <si>
    <t>Seward's Day</t>
  </si>
  <si>
    <t>Alaska</t>
  </si>
  <si>
    <t>César Chávez Day</t>
  </si>
  <si>
    <t>CA, CO*, TX*</t>
  </si>
  <si>
    <t>Maundy Thursday</t>
  </si>
  <si>
    <t>Pascua Florida Day</t>
  </si>
  <si>
    <t>Good Friday</t>
  </si>
  <si>
    <t>13 states</t>
  </si>
  <si>
    <t>Holy Saturday</t>
  </si>
  <si>
    <t>Passover (first day)</t>
  </si>
  <si>
    <t>Easter Sunday</t>
  </si>
  <si>
    <t>Observance, Christian</t>
  </si>
  <si>
    <t>Easter Monday</t>
  </si>
  <si>
    <t>National Tartan Day</t>
  </si>
  <si>
    <t>Orthodox Good Friday</t>
  </si>
  <si>
    <t>Last Day of Passover</t>
  </si>
  <si>
    <t>Orthodox Holy Saturday</t>
  </si>
  <si>
    <t>Orthodox Easter</t>
  </si>
  <si>
    <t>Orthodox Easter Monday</t>
  </si>
  <si>
    <t>Thomas Jefferson's Birthday</t>
  </si>
  <si>
    <t>Yom HaShoah</t>
  </si>
  <si>
    <t>Tax Day</t>
  </si>
  <si>
    <t>Father Damien Day</t>
  </si>
  <si>
    <t>Emancipation Day</t>
  </si>
  <si>
    <t>District of Columbia</t>
  </si>
  <si>
    <t>Patriot's Day</t>
  </si>
  <si>
    <t>Maine, Massachusetts</t>
  </si>
  <si>
    <t>San Jacinto Day</t>
  </si>
  <si>
    <t>National Library Workers' Day</t>
  </si>
  <si>
    <t>Oklahoma Day</t>
  </si>
  <si>
    <t>Oklahoma</t>
  </si>
  <si>
    <t>Administrative Professionals Day</t>
  </si>
  <si>
    <t>Yom Ha'atzmaut</t>
  </si>
  <si>
    <t>Arbor Day</t>
  </si>
  <si>
    <t>Nebraska</t>
  </si>
  <si>
    <t>AL, FL, GA</t>
  </si>
  <si>
    <t>Mississippi</t>
  </si>
  <si>
    <t>Law Day</t>
  </si>
  <si>
    <t>Loyalty Day</t>
  </si>
  <si>
    <t>National Explosive Ordnance Disposal (EOD) Day</t>
  </si>
  <si>
    <t>Rhode Island Independence Day</t>
  </si>
  <si>
    <t>Rhode Island</t>
  </si>
  <si>
    <t>Cinco de Mayo</t>
  </si>
  <si>
    <t>Primary Election Day Indiana</t>
  </si>
  <si>
    <t>Indiana</t>
  </si>
  <si>
    <t>National Nurses Day</t>
  </si>
  <si>
    <t>Lag BaOmer</t>
  </si>
  <si>
    <t>National Day of Prayer</t>
  </si>
  <si>
    <t>Truman Day</t>
  </si>
  <si>
    <t>Missouri</t>
  </si>
  <si>
    <t>Mothers' Day</t>
  </si>
  <si>
    <t>South Carolina</t>
  </si>
  <si>
    <t>North Carolina</t>
  </si>
  <si>
    <t>Confederate Memorial Day observed</t>
  </si>
  <si>
    <t>Ascension Day</t>
  </si>
  <si>
    <t>Peace Officers Memorial Day</t>
  </si>
  <si>
    <t>National Defense Transportation Day</t>
  </si>
  <si>
    <t>Isra and Mi'raj</t>
  </si>
  <si>
    <t>Armed Forces Day</t>
  </si>
  <si>
    <t>Emergency Medical Services for Children Day</t>
  </si>
  <si>
    <t>National Maritime Day</t>
  </si>
  <si>
    <t>Harvey Milk Day</t>
  </si>
  <si>
    <t>California</t>
  </si>
  <si>
    <t>Pentecost</t>
  </si>
  <si>
    <t>Shavuot</t>
  </si>
  <si>
    <t>Whit Monday</t>
  </si>
  <si>
    <t>Memorial Day</t>
  </si>
  <si>
    <t>Jefferson Davis Birthday</t>
  </si>
  <si>
    <t>National Missing Children's Day</t>
  </si>
  <si>
    <t>Trinity Sunday</t>
  </si>
  <si>
    <t>Statehood Day</t>
  </si>
  <si>
    <t>Kentucky, Tennessee</t>
  </si>
  <si>
    <t>Alabama</t>
  </si>
  <si>
    <t>Corpus Christi</t>
  </si>
  <si>
    <t>D-Day</t>
  </si>
  <si>
    <t>Kamehameha Day</t>
  </si>
  <si>
    <t>Flag Day</t>
  </si>
  <si>
    <t>Bunker Hill Day</t>
  </si>
  <si>
    <t>Ramadan starts</t>
  </si>
  <si>
    <t>Juneteenth</t>
  </si>
  <si>
    <t>All except Am. Samoa, AZ, HI, MD, MP, MT, ND, NH, SD,UT, Virg. Is., Wake Is.</t>
  </si>
  <si>
    <t>West Virginia Day</t>
  </si>
  <si>
    <t>West Virginia</t>
  </si>
  <si>
    <t>June Solstice</t>
  </si>
  <si>
    <t>Fathers' Day</t>
  </si>
  <si>
    <t>Independence Day observed</t>
  </si>
  <si>
    <t>Independence Day</t>
  </si>
  <si>
    <t>Lailat al-Qadr</t>
  </si>
  <si>
    <t>Eid al-Fitr</t>
  </si>
  <si>
    <t>Pioneer Day</t>
  </si>
  <si>
    <t>Utah</t>
  </si>
  <si>
    <t>Tisha B'Av</t>
  </si>
  <si>
    <t>Parents' Day</t>
  </si>
  <si>
    <t>Colorado Day</t>
  </si>
  <si>
    <t>Colorado</t>
  </si>
  <si>
    <t>Victory Day</t>
  </si>
  <si>
    <t>Assumption of Mary</t>
  </si>
  <si>
    <t>Bennington Battle Day</t>
  </si>
  <si>
    <t>Vermont</t>
  </si>
  <si>
    <t>Bennington Battle Day observed</t>
  </si>
  <si>
    <t>National Aviation Day</t>
  </si>
  <si>
    <t>Statehood Day in Hawaii</t>
  </si>
  <si>
    <t>Senior Citizens Day</t>
  </si>
  <si>
    <t>Women's Equality Day</t>
  </si>
  <si>
    <t>Lyndon Baines Johnson Day</t>
  </si>
  <si>
    <t>Labor Day</t>
  </si>
  <si>
    <t>California Admission Day</t>
  </si>
  <si>
    <t>Patriot Day</t>
  </si>
  <si>
    <t>Carl Garner Federal Lands Cleanup Day</t>
  </si>
  <si>
    <t>National Grandparents Day</t>
  </si>
  <si>
    <t>Rosh Hashana</t>
  </si>
  <si>
    <t>Constitution Day and Citizenship Day</t>
  </si>
  <si>
    <t>National POW/MIA Recognition Day</t>
  </si>
  <si>
    <t>Ohio</t>
  </si>
  <si>
    <t>Yom Kippur</t>
  </si>
  <si>
    <t>September equinox</t>
  </si>
  <si>
    <t>Eid al-Adha</t>
  </si>
  <si>
    <t>Native Americans' Day</t>
  </si>
  <si>
    <t>Gold Star Mother's Day</t>
  </si>
  <si>
    <t>First Day of Sukkot</t>
  </si>
  <si>
    <t>Feast of St Francis of Assisi</t>
  </si>
  <si>
    <t>Last Day of Sukkot</t>
  </si>
  <si>
    <t>Shmini Atzeret</t>
  </si>
  <si>
    <t>Child Health Day</t>
  </si>
  <si>
    <t>Simchat Torah</t>
  </si>
  <si>
    <t>Leif Erikson Day</t>
  </si>
  <si>
    <t>Columbus Day</t>
  </si>
  <si>
    <t>All except AK, AR, CA, DE, FL, HI, MI, MN, ND, NV, OR,SD, TX, VT, WA, WI, WY</t>
  </si>
  <si>
    <t>South Dakota</t>
  </si>
  <si>
    <t>Indigenous People's Day</t>
  </si>
  <si>
    <t>CA*, MN*, WA*</t>
  </si>
  <si>
    <t>Muharram</t>
  </si>
  <si>
    <t>White Cane Safety Day</t>
  </si>
  <si>
    <t>Boss's Day</t>
  </si>
  <si>
    <t>Alaska Day</t>
  </si>
  <si>
    <t>Alaska Day observed</t>
  </si>
  <si>
    <t>Nevada Day</t>
  </si>
  <si>
    <t>Nevada</t>
  </si>
  <si>
    <t>Halloween</t>
  </si>
  <si>
    <t>All Saints' Day</t>
  </si>
  <si>
    <t>Daylight Saving Time ends</t>
  </si>
  <si>
    <t>All Souls' Day</t>
  </si>
  <si>
    <t>Election Day</t>
  </si>
  <si>
    <t>Indiana, New York</t>
  </si>
  <si>
    <t>Veterans Day</t>
  </si>
  <si>
    <t>Diwali/Deepavali</t>
  </si>
  <si>
    <t>Thanksgiving Day</t>
  </si>
  <si>
    <t>Georgia</t>
  </si>
  <si>
    <t>Presidents' Day</t>
  </si>
  <si>
    <t>New Mexico</t>
  </si>
  <si>
    <t>Lincoln's Birthday/Lincoln's Day</t>
  </si>
  <si>
    <t>Indiana, West Virginia</t>
  </si>
  <si>
    <t>Black Friday</t>
  </si>
  <si>
    <t>24 states</t>
  </si>
  <si>
    <t>American Indian Heritage Day</t>
  </si>
  <si>
    <t>First Sunday of Advent</t>
  </si>
  <si>
    <t>Cyber Monday</t>
  </si>
  <si>
    <t>St Nicholas' Day</t>
  </si>
  <si>
    <t>Chanukah/Hanukkah (first day)</t>
  </si>
  <si>
    <t>Pearl Harbor Remembrance Day</t>
  </si>
  <si>
    <t>Feast of the Immaculate Conception</t>
  </si>
  <si>
    <t>Feast of Our Lady of Guadalupe</t>
  </si>
  <si>
    <t>Last Day of Chanukah</t>
  </si>
  <si>
    <t>Pan American Aviation Day</t>
  </si>
  <si>
    <t>Wright Brothers Day</t>
  </si>
  <si>
    <t>December Solstice</t>
  </si>
  <si>
    <t>Christmas Eve</t>
  </si>
  <si>
    <t>KS*, LA, MI, NC, ND, OK, SC, TX, VA*, WI</t>
  </si>
  <si>
    <t>Washington's Birthday</t>
  </si>
  <si>
    <t>Georgia, Indiana</t>
  </si>
  <si>
    <t>Christmas Day</t>
  </si>
  <si>
    <t>National holiday, Christian</t>
  </si>
  <si>
    <t>Kwanzaa (until Jan 1)</t>
  </si>
  <si>
    <t>Day After Christmas Day</t>
  </si>
  <si>
    <t>KS, KY, NC, NH, SC, TX</t>
  </si>
  <si>
    <t>New Year's Eve</t>
  </si>
  <si>
    <t>LA, MI, 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</si>
</sst>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"/>
    <numFmt numFmtId="165" formatCode="mmmm"/>
  </numFmts>
  <fonts count="28" x14ac:knownFonts="1">
    <font>
      <sz val="10"/>
      <color theme="1"/>
      <name val="Calibri"/>
      <family val="2"/>
      <scheme val="minor"/>
    </font>
    <font>
      <b/>
      <sz val="12"/>
      <color theme="0"/>
      <name val="Cambria"/>
      <family val="4"/>
      <scheme val="major"/>
    </font>
    <font>
      <sz val="11"/>
      <color theme="1"/>
      <name val="Cambria"/>
      <family val="4"/>
      <scheme val="major"/>
    </font>
    <font>
      <sz val="11"/>
      <color rgb="FFFFFF00"/>
      <name val="Cambria"/>
      <family val="4"/>
      <scheme val="major"/>
    </font>
    <font>
      <sz val="10"/>
      <color rgb="FFFFFF00"/>
      <name val="Cambria"/>
      <family val="4"/>
      <scheme val="major"/>
    </font>
    <font>
      <sz val="10"/>
      <color theme="4"/>
      <name val="Cambria"/>
      <family val="4"/>
      <scheme val="major"/>
    </font>
    <font>
      <sz val="10"/>
      <color theme="4"/>
      <name val="Calibri"/>
      <family val="2"/>
      <scheme val="minor"/>
    </font>
    <font>
      <sz val="11"/>
      <color theme="4"/>
      <name val="Cambria"/>
      <family val="4"/>
      <scheme val="major"/>
    </font>
    <font>
      <b/>
      <sz val="12"/>
      <color theme="0"/>
      <name val="Cambria"/>
      <family val="1"/>
      <scheme val="major"/>
    </font>
    <font>
      <b/>
      <sz val="28"/>
      <color theme="0"/>
      <name val="Cambria"/>
      <family val="1"/>
      <scheme val="major"/>
    </font>
    <font>
      <sz val="10"/>
      <color theme="0"/>
      <name val="Calibri"/>
      <family val="2"/>
      <scheme val="minor"/>
    </font>
    <font>
      <sz val="11"/>
      <color theme="0"/>
      <name val="Cambria"/>
      <family val="4"/>
      <scheme val="major"/>
    </font>
    <font>
      <sz val="12"/>
      <color theme="0"/>
      <name val="Cambria"/>
      <family val="1"/>
      <scheme val="major"/>
    </font>
    <font>
      <sz val="12"/>
      <color theme="0"/>
      <name val="Cambria"/>
      <family val="4"/>
      <scheme val="maj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454545"/>
      <name val="Arial"/>
      <family val="2"/>
    </font>
    <font>
      <sz val="11"/>
      <color rgb="FF454545"/>
      <name val="Arial"/>
      <family val="2"/>
    </font>
    <font>
      <u/>
      <sz val="10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mbria"/>
      <family val="2"/>
      <scheme val="major"/>
    </font>
    <font>
      <sz val="20"/>
      <color theme="1"/>
      <name val="Calibri"/>
      <family val="2"/>
      <scheme val="minor"/>
    </font>
    <font>
      <b/>
      <sz val="20"/>
      <color theme="0" tint="-0.249977111117893"/>
      <name val="Calibri"/>
      <family val="2"/>
      <scheme val="minor"/>
    </font>
    <font>
      <b/>
      <sz val="25"/>
      <color theme="1"/>
      <name val="Cambria"/>
      <family val="2"/>
      <scheme val="major"/>
    </font>
    <font>
      <sz val="25"/>
      <color theme="1"/>
      <name val="Calibri"/>
      <family val="2"/>
      <scheme val="minor"/>
    </font>
    <font>
      <sz val="60"/>
      <color theme="3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mbria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F0F0"/>
        <bgColor indexed="64"/>
      </patternFill>
    </fill>
    <fill>
      <patternFill patternType="solid">
        <fgColor rgb="FFF0E4E4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 style="medium">
        <color rgb="FFDDDDDD"/>
      </bottom>
      <diagonal/>
    </border>
    <border>
      <left/>
      <right/>
      <top style="medium">
        <color rgb="FFCCCCCC"/>
      </top>
      <bottom style="medium">
        <color rgb="FFDDDDDD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DDDDDD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3">
    <xf numFmtId="0" fontId="0" fillId="0" borderId="0"/>
    <xf numFmtId="0" fontId="15" fillId="0" borderId="0"/>
    <xf numFmtId="0" fontId="18" fillId="0" borderId="0" applyNumberFormat="0" applyFill="0" applyBorder="0" applyAlignment="0" applyProtection="0"/>
  </cellStyleXfs>
  <cellXfs count="85">
    <xf numFmtId="0" fontId="0" fillId="0" borderId="0" xfId="0"/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Fill="1" applyBorder="1"/>
    <xf numFmtId="0" fontId="1" fillId="2" borderId="0" xfId="0" applyFont="1" applyFill="1" applyAlignment="1">
      <alignment horizontal="left" indent="1"/>
    </xf>
    <xf numFmtId="0" fontId="6" fillId="2" borderId="0" xfId="0" applyFont="1" applyFill="1"/>
    <xf numFmtId="0" fontId="7" fillId="2" borderId="0" xfId="0" applyFont="1" applyFill="1"/>
    <xf numFmtId="0" fontId="5" fillId="2" borderId="0" xfId="0" applyFont="1" applyFill="1"/>
    <xf numFmtId="164" fontId="0" fillId="0" borderId="3" xfId="0" applyNumberFormat="1" applyFont="1" applyFill="1" applyBorder="1" applyAlignment="1">
      <alignment horizontal="center"/>
    </xf>
    <xf numFmtId="0" fontId="0" fillId="0" borderId="3" xfId="0" applyFont="1" applyBorder="1"/>
    <xf numFmtId="0" fontId="0" fillId="0" borderId="3" xfId="0" applyBorder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0" fillId="0" borderId="0" xfId="0" applyFill="1"/>
    <xf numFmtId="0" fontId="8" fillId="2" borderId="0" xfId="0" applyFont="1" applyFill="1"/>
    <xf numFmtId="0" fontId="5" fillId="2" borderId="0" xfId="0" applyFont="1" applyFill="1" applyAlignment="1"/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horizontal="left" indent="1"/>
    </xf>
    <xf numFmtId="0" fontId="13" fillId="2" borderId="0" xfId="0" applyFont="1" applyFill="1" applyAlignment="1">
      <alignment horizontal="left" indent="1"/>
    </xf>
    <xf numFmtId="0" fontId="13" fillId="2" borderId="0" xfId="0" applyFont="1" applyFill="1"/>
    <xf numFmtId="0" fontId="14" fillId="2" borderId="0" xfId="0" applyFont="1" applyFill="1"/>
    <xf numFmtId="0" fontId="5" fillId="0" borderId="0" xfId="0" applyFont="1" applyFill="1"/>
    <xf numFmtId="0" fontId="17" fillId="3" borderId="5" xfId="0" applyFont="1" applyFill="1" applyBorder="1" applyAlignment="1">
      <alignment vertical="top" indent="1"/>
    </xf>
    <xf numFmtId="0" fontId="18" fillId="3" borderId="5" xfId="2" applyFill="1" applyBorder="1" applyAlignment="1">
      <alignment vertical="top" wrapText="1" indent="1"/>
    </xf>
    <xf numFmtId="0" fontId="17" fillId="3" borderId="5" xfId="0" applyFont="1" applyFill="1" applyBorder="1" applyAlignment="1">
      <alignment vertical="top" wrapText="1" indent="1"/>
    </xf>
    <xf numFmtId="0" fontId="17" fillId="6" borderId="7" xfId="0" applyFont="1" applyFill="1" applyBorder="1" applyAlignment="1">
      <alignment vertical="top" indent="1"/>
    </xf>
    <xf numFmtId="0" fontId="18" fillId="6" borderId="7" xfId="2" applyFill="1" applyBorder="1" applyAlignment="1">
      <alignment vertical="top" wrapText="1" indent="1"/>
    </xf>
    <xf numFmtId="0" fontId="17" fillId="6" borderId="7" xfId="0" applyFont="1" applyFill="1" applyBorder="1" applyAlignment="1">
      <alignment vertical="top" wrapText="1" indent="1"/>
    </xf>
    <xf numFmtId="0" fontId="17" fillId="6" borderId="5" xfId="0" applyFont="1" applyFill="1" applyBorder="1" applyAlignment="1">
      <alignment vertical="top" indent="1"/>
    </xf>
    <xf numFmtId="0" fontId="18" fillId="6" borderId="5" xfId="2" applyFill="1" applyBorder="1" applyAlignment="1">
      <alignment vertical="top" wrapText="1" indent="1"/>
    </xf>
    <xf numFmtId="0" fontId="17" fillId="6" borderId="5" xfId="0" applyFont="1" applyFill="1" applyBorder="1" applyAlignment="1">
      <alignment vertical="top" wrapText="1" indent="1"/>
    </xf>
    <xf numFmtId="16" fontId="16" fillId="4" borderId="8" xfId="0" applyNumberFormat="1" applyFont="1" applyFill="1" applyBorder="1" applyAlignment="1">
      <alignment horizontal="right" vertical="top" indent="1"/>
    </xf>
    <xf numFmtId="0" fontId="17" fillId="3" borderId="4" xfId="0" applyFont="1" applyFill="1" applyBorder="1" applyAlignment="1">
      <alignment vertical="top" wrapText="1" indent="1"/>
    </xf>
    <xf numFmtId="16" fontId="16" fillId="5" borderId="10" xfId="0" applyNumberFormat="1" applyFont="1" applyFill="1" applyBorder="1" applyAlignment="1">
      <alignment horizontal="right" vertical="top" indent="1"/>
    </xf>
    <xf numFmtId="0" fontId="17" fillId="6" borderId="6" xfId="0" applyFont="1" applyFill="1" applyBorder="1" applyAlignment="1">
      <alignment vertical="top" wrapText="1" indent="1"/>
    </xf>
    <xf numFmtId="16" fontId="16" fillId="5" borderId="8" xfId="0" applyNumberFormat="1" applyFont="1" applyFill="1" applyBorder="1" applyAlignment="1">
      <alignment horizontal="right" vertical="top" indent="1"/>
    </xf>
    <xf numFmtId="0" fontId="17" fillId="6" borderId="4" xfId="0" applyFont="1" applyFill="1" applyBorder="1" applyAlignment="1">
      <alignment vertical="top" wrapText="1" indent="1"/>
    </xf>
    <xf numFmtId="16" fontId="16" fillId="4" borderId="10" xfId="0" applyNumberFormat="1" applyFont="1" applyFill="1" applyBorder="1" applyAlignment="1">
      <alignment horizontal="right" vertical="top" indent="1"/>
    </xf>
    <xf numFmtId="16" fontId="16" fillId="4" borderId="11" xfId="0" applyNumberFormat="1" applyFont="1" applyFill="1" applyBorder="1" applyAlignment="1">
      <alignment horizontal="right" vertical="top" indent="1"/>
    </xf>
    <xf numFmtId="0" fontId="17" fillId="3" borderId="12" xfId="0" applyFont="1" applyFill="1" applyBorder="1" applyAlignment="1">
      <alignment vertical="top" indent="1"/>
    </xf>
    <xf numFmtId="0" fontId="18" fillId="3" borderId="12" xfId="2" applyFill="1" applyBorder="1" applyAlignment="1">
      <alignment vertical="top" wrapText="1" indent="1"/>
    </xf>
    <xf numFmtId="0" fontId="17" fillId="3" borderId="12" xfId="0" applyFont="1" applyFill="1" applyBorder="1" applyAlignment="1">
      <alignment vertical="top" wrapText="1" indent="1"/>
    </xf>
    <xf numFmtId="0" fontId="17" fillId="3" borderId="13" xfId="0" applyFont="1" applyFill="1" applyBorder="1" applyAlignment="1">
      <alignment vertical="top" wrapText="1" indent="1"/>
    </xf>
    <xf numFmtId="0" fontId="18" fillId="3" borderId="5" xfId="2" applyFill="1" applyBorder="1" applyAlignment="1">
      <alignment vertical="top"/>
    </xf>
    <xf numFmtId="0" fontId="18" fillId="6" borderId="7" xfId="2" applyFill="1" applyBorder="1" applyAlignment="1">
      <alignment vertical="top"/>
    </xf>
    <xf numFmtId="0" fontId="18" fillId="6" borderId="5" xfId="2" applyFill="1" applyBorder="1" applyAlignment="1">
      <alignment vertical="top"/>
    </xf>
    <xf numFmtId="0" fontId="0" fillId="0" borderId="0" xfId="0" applyAlignment="1"/>
    <xf numFmtId="0" fontId="16" fillId="4" borderId="8" xfId="0" applyFont="1" applyFill="1" applyBorder="1" applyAlignment="1">
      <alignment vertical="top"/>
    </xf>
    <xf numFmtId="0" fontId="16" fillId="4" borderId="9" xfId="0" applyFont="1" applyFill="1" applyBorder="1" applyAlignment="1">
      <alignment vertical="top"/>
    </xf>
    <xf numFmtId="0" fontId="19" fillId="0" borderId="0" xfId="0" applyFont="1"/>
    <xf numFmtId="164" fontId="19" fillId="0" borderId="0" xfId="0" applyNumberFormat="1" applyFont="1" applyFill="1" applyBorder="1" applyAlignment="1">
      <alignment horizontal="center"/>
    </xf>
    <xf numFmtId="164" fontId="19" fillId="0" borderId="3" xfId="0" applyNumberFormat="1" applyFont="1" applyFill="1" applyBorder="1" applyAlignment="1">
      <alignment horizontal="center"/>
    </xf>
    <xf numFmtId="0" fontId="20" fillId="0" borderId="0" xfId="0" applyFont="1" applyFill="1" applyBorder="1" applyAlignment="1"/>
    <xf numFmtId="0" fontId="21" fillId="0" borderId="0" xfId="0" applyFont="1"/>
    <xf numFmtId="164" fontId="21" fillId="0" borderId="0" xfId="0" applyNumberFormat="1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164" fontId="21" fillId="0" borderId="0" xfId="0" applyNumberFormat="1" applyFont="1" applyFill="1" applyBorder="1" applyAlignment="1">
      <alignment horizontal="center"/>
    </xf>
    <xf numFmtId="0" fontId="23" fillId="0" borderId="3" xfId="0" applyFont="1" applyFill="1" applyBorder="1" applyAlignment="1"/>
    <xf numFmtId="0" fontId="23" fillId="0" borderId="0" xfId="0" applyFont="1" applyFill="1" applyBorder="1" applyAlignment="1"/>
    <xf numFmtId="0" fontId="24" fillId="0" borderId="0" xfId="0" applyFont="1"/>
    <xf numFmtId="164" fontId="24" fillId="0" borderId="0" xfId="0" applyNumberFormat="1" applyFont="1" applyFill="1" applyBorder="1"/>
    <xf numFmtId="164" fontId="24" fillId="0" borderId="0" xfId="0" applyNumberFormat="1" applyFont="1" applyFill="1" applyBorder="1" applyAlignment="1">
      <alignment horizontal="center"/>
    </xf>
    <xf numFmtId="164" fontId="26" fillId="0" borderId="0" xfId="0" applyNumberFormat="1" applyFont="1" applyFill="1" applyBorder="1" applyAlignment="1">
      <alignment horizontal="center"/>
    </xf>
    <xf numFmtId="164" fontId="26" fillId="0" borderId="3" xfId="0" applyNumberFormat="1" applyFont="1" applyFill="1" applyBorder="1" applyAlignment="1">
      <alignment horizontal="center"/>
    </xf>
    <xf numFmtId="0" fontId="26" fillId="0" borderId="0" xfId="0" applyFont="1"/>
    <xf numFmtId="0" fontId="26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6" fillId="0" borderId="0" xfId="0" applyFont="1" applyFill="1" applyBorder="1"/>
    <xf numFmtId="0" fontId="25" fillId="0" borderId="0" xfId="1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6" fillId="2" borderId="2" xfId="0" applyFont="1" applyFill="1" applyBorder="1"/>
    <xf numFmtId="0" fontId="5" fillId="2" borderId="0" xfId="0" applyFont="1" applyFill="1" applyAlignment="1"/>
    <xf numFmtId="0" fontId="6" fillId="2" borderId="1" xfId="0" applyFont="1" applyFill="1" applyBorder="1"/>
    <xf numFmtId="14" fontId="5" fillId="2" borderId="0" xfId="0" applyNumberFormat="1" applyFont="1" applyFill="1" applyAlignment="1">
      <alignment horizontal="right" indent="1"/>
    </xf>
    <xf numFmtId="0" fontId="5" fillId="0" borderId="0" xfId="0" applyFont="1" applyFill="1"/>
    <xf numFmtId="0" fontId="5" fillId="2" borderId="0" xfId="0" applyFont="1" applyFill="1"/>
    <xf numFmtId="165" fontId="23" fillId="0" borderId="0" xfId="0" applyNumberFormat="1" applyFont="1" applyFill="1" applyBorder="1" applyAlignment="1">
      <alignment horizontal="left"/>
    </xf>
    <xf numFmtId="0" fontId="16" fillId="4" borderId="8" xfId="0" applyFont="1" applyFill="1" applyBorder="1" applyAlignment="1">
      <alignment horizontal="left" vertical="top" wrapText="1" indent="1"/>
    </xf>
    <xf numFmtId="0" fontId="16" fillId="4" borderId="9" xfId="0" applyFont="1" applyFill="1" applyBorder="1" applyAlignment="1">
      <alignment horizontal="left" vertical="top" wrapText="1" indent="1"/>
    </xf>
  </cellXfs>
  <cellStyles count="3">
    <cellStyle name="Hyperlink" xfId="2" builtinId="8"/>
    <cellStyle name="Normal" xfId="0" builtinId="0" customBuiltin="1"/>
    <cellStyle name="Normal 2" xfId="1"/>
  </cellStyles>
  <dxfs count="1"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AE$3" max="2999" min="1900" page="10" val="2017"/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0</xdr:row>
      <xdr:rowOff>85725</xdr:rowOff>
    </xdr:from>
    <xdr:to>
      <xdr:col>36</xdr:col>
      <xdr:colOff>183262</xdr:colOff>
      <xdr:row>19</xdr:row>
      <xdr:rowOff>111125</xdr:rowOff>
    </xdr:to>
    <xdr:sp macro="" textlink="">
      <xdr:nvSpPr>
        <xdr:cNvPr id="2" name="Chalkboard frame" descr="Shape with wood texture fill, used to create a chalkboard frame." title="Chalkboard frame"/>
        <xdr:cNvSpPr/>
      </xdr:nvSpPr>
      <xdr:spPr>
        <a:xfrm>
          <a:off x="231776" y="85725"/>
          <a:ext cx="7555611" cy="3676650"/>
        </a:xfrm>
        <a:prstGeom prst="frame">
          <a:avLst>
            <a:gd name="adj1" fmla="val 4776"/>
          </a:avLst>
        </a:prstGeom>
        <a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artisticCrisscrossEtching/>
                    </a14:imgEffect>
                  </a14:imgLayer>
                </a14:imgProps>
              </a:ext>
            </a:extLst>
          </a:blip>
          <a:tile tx="0" ty="0" sx="100000" sy="100000" flip="none" algn="tl"/>
        </a:blipFill>
        <a:ln>
          <a:noFill/>
        </a:ln>
        <a:effectLst>
          <a:innerShdw blurRad="114300">
            <a:prstClr val="black"/>
          </a:innerShdw>
        </a:effectLst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9527</xdr:colOff>
      <xdr:row>2</xdr:row>
      <xdr:rowOff>104776</xdr:rowOff>
    </xdr:from>
    <xdr:to>
      <xdr:col>39</xdr:col>
      <xdr:colOff>590551</xdr:colOff>
      <xdr:row>2</xdr:row>
      <xdr:rowOff>457200</xdr:rowOff>
    </xdr:to>
    <xdr:sp macro="" textlink="">
      <xdr:nvSpPr>
        <xdr:cNvPr id="4" name="Instructions" descr="To change the calendar year, click the spinner" title="Instructional text"/>
        <xdr:cNvSpPr txBox="1"/>
      </xdr:nvSpPr>
      <xdr:spPr>
        <a:xfrm>
          <a:off x="7667627" y="552451"/>
          <a:ext cx="1800224" cy="352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algn="l"/>
          <a:r>
            <a:rPr lang="en-US" sz="1000" b="0" i="1">
              <a:solidFill>
                <a:schemeClr val="tx1">
                  <a:lumMod val="65000"/>
                  <a:lumOff val="35000"/>
                </a:schemeClr>
              </a:solidFill>
            </a:rPr>
            <a:t>To change the calendar</a:t>
          </a:r>
          <a:r>
            <a:rPr lang="en-US" sz="1000" b="0" i="1" baseline="0">
              <a:solidFill>
                <a:schemeClr val="tx1">
                  <a:lumMod val="65000"/>
                  <a:lumOff val="35000"/>
                </a:schemeClr>
              </a:solidFill>
            </a:rPr>
            <a:t> year, click the spinner</a:t>
          </a:r>
          <a:endParaRPr lang="en-US" sz="1000" b="0" i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 fPrintsWithSheet="0"/>
  </xdr:twoCellAnchor>
  <xdr:twoCellAnchor>
    <xdr:from>
      <xdr:col>18</xdr:col>
      <xdr:colOff>114300</xdr:colOff>
      <xdr:row>4</xdr:row>
      <xdr:rowOff>85725</xdr:rowOff>
    </xdr:from>
    <xdr:to>
      <xdr:col>18</xdr:col>
      <xdr:colOff>114300</xdr:colOff>
      <xdr:row>20</xdr:row>
      <xdr:rowOff>24765</xdr:rowOff>
    </xdr:to>
    <xdr:cxnSp macro="">
      <xdr:nvCxnSpPr>
        <xdr:cNvPr id="6" name="Chalkboard divider" descr="Chalkboard divder" title="Divider"/>
        <xdr:cNvCxnSpPr/>
      </xdr:nvCxnSpPr>
      <xdr:spPr>
        <a:xfrm>
          <a:off x="4343400" y="1076325"/>
          <a:ext cx="0" cy="2834640"/>
        </a:xfrm>
        <a:prstGeom prst="line">
          <a:avLst/>
        </a:prstGeom>
        <a:ln w="3175">
          <a:solidFill>
            <a:schemeClr val="accent1">
              <a:lumMod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200025</xdr:colOff>
          <xdr:row>2</xdr:row>
          <xdr:rowOff>85725</xdr:rowOff>
        </xdr:from>
        <xdr:to>
          <xdr:col>34</xdr:col>
          <xdr:colOff>355600</xdr:colOff>
          <xdr:row>2</xdr:row>
          <xdr:rowOff>390525</xdr:rowOff>
        </xdr:to>
        <xdr:sp macro="" textlink="">
          <xdr:nvSpPr>
            <xdr:cNvPr id="1025" name="Spinn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9_calendar">
  <a:themeElements>
    <a:clrScheme name="Family Calendar 2">
      <a:dk1>
        <a:sysClr val="windowText" lastClr="000000"/>
      </a:dk1>
      <a:lt1>
        <a:sysClr val="window" lastClr="FFFFFF"/>
      </a:lt1>
      <a:dk2>
        <a:srgbClr val="3E3D2D"/>
      </a:dk2>
      <a:lt2>
        <a:srgbClr val="FFFFFF"/>
      </a:lt2>
      <a:accent1>
        <a:srgbClr val="FFF078"/>
      </a:accent1>
      <a:accent2>
        <a:srgbClr val="99FF66"/>
      </a:accent2>
      <a:accent3>
        <a:srgbClr val="FF99FF"/>
      </a:accent3>
      <a:accent4>
        <a:srgbClr val="92E0F7"/>
      </a:accent4>
      <a:accent5>
        <a:srgbClr val="FFCB92"/>
      </a:accent5>
      <a:accent6>
        <a:srgbClr val="CC99FF"/>
      </a:accent6>
      <a:hlink>
        <a:srgbClr val="BBA600"/>
      </a:hlink>
      <a:folHlink>
        <a:srgbClr val="A45600"/>
      </a:folHlink>
    </a:clrScheme>
    <a:fontScheme name="Custom 7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timeanddate.com/holidays/us/fathers-day" TargetMode="External"/><Relationship Id="rId21" Type="http://schemas.openxmlformats.org/officeDocument/2006/relationships/hyperlink" Target="http://www.timeanddate.com/holidays/us/lincolns-birthday" TargetMode="External"/><Relationship Id="rId42" Type="http://schemas.openxmlformats.org/officeDocument/2006/relationships/hyperlink" Target="http://www.timeanddate.com/holidays/us/maryland-day" TargetMode="External"/><Relationship Id="rId63" Type="http://schemas.openxmlformats.org/officeDocument/2006/relationships/hyperlink" Target="http://www.timeanddate.com/holidays/us/father-damien-day" TargetMode="External"/><Relationship Id="rId84" Type="http://schemas.openxmlformats.org/officeDocument/2006/relationships/hyperlink" Target="http://www.timeanddate.com/holidays/us/truman-day" TargetMode="External"/><Relationship Id="rId138" Type="http://schemas.openxmlformats.org/officeDocument/2006/relationships/hyperlink" Target="http://www.timeanddate.com/holidays/us/carl-garner-cleanup-day" TargetMode="External"/><Relationship Id="rId159" Type="http://schemas.openxmlformats.org/officeDocument/2006/relationships/hyperlink" Target="http://www.timeanddate.com/holidays/us/columbus-day" TargetMode="External"/><Relationship Id="rId170" Type="http://schemas.openxmlformats.org/officeDocument/2006/relationships/hyperlink" Target="http://www.timeanddate.com/time/change/usa/new-york" TargetMode="External"/><Relationship Id="rId191" Type="http://schemas.openxmlformats.org/officeDocument/2006/relationships/hyperlink" Target="http://www.timeanddate.com/calendar/december-solstice.html" TargetMode="External"/><Relationship Id="rId196" Type="http://schemas.openxmlformats.org/officeDocument/2006/relationships/hyperlink" Target="http://www.timeanddate.com/holidays/us/christmas-day" TargetMode="External"/><Relationship Id="rId200" Type="http://schemas.openxmlformats.org/officeDocument/2006/relationships/hyperlink" Target="http://www.timeanddate.com/holidays/us/new-year-eve" TargetMode="External"/><Relationship Id="rId16" Type="http://schemas.openxmlformats.org/officeDocument/2006/relationships/hyperlink" Target="http://www.timeanddate.com/holidays/us/groundhog-day" TargetMode="External"/><Relationship Id="rId107" Type="http://schemas.openxmlformats.org/officeDocument/2006/relationships/hyperlink" Target="http://www.timeanddate.com/holidays/us/corpus-christi" TargetMode="External"/><Relationship Id="rId11" Type="http://schemas.openxmlformats.org/officeDocument/2006/relationships/hyperlink" Target="http://www.timeanddate.com/holidays/us/confederate-memorial-day" TargetMode="External"/><Relationship Id="rId32" Type="http://schemas.openxmlformats.org/officeDocument/2006/relationships/hyperlink" Target="http://www.timeanddate.com/holidays/us/texas-independence-day" TargetMode="External"/><Relationship Id="rId37" Type="http://schemas.openxmlformats.org/officeDocument/2006/relationships/hyperlink" Target="http://www.timeanddate.com/holidays/us/employee-appreciation-day" TargetMode="External"/><Relationship Id="rId53" Type="http://schemas.openxmlformats.org/officeDocument/2006/relationships/hyperlink" Target="http://www.timeanddate.com/holidays/us/easter-monday" TargetMode="External"/><Relationship Id="rId58" Type="http://schemas.openxmlformats.org/officeDocument/2006/relationships/hyperlink" Target="http://www.timeanddate.com/holidays/us/orthodox-easter-day" TargetMode="External"/><Relationship Id="rId74" Type="http://schemas.openxmlformats.org/officeDocument/2006/relationships/hyperlink" Target="http://www.timeanddate.com/holidays/us/confederate-memorial-day" TargetMode="External"/><Relationship Id="rId79" Type="http://schemas.openxmlformats.org/officeDocument/2006/relationships/hyperlink" Target="http://www.timeanddate.com/holidays/us/cinco-de-mayo" TargetMode="External"/><Relationship Id="rId102" Type="http://schemas.openxmlformats.org/officeDocument/2006/relationships/hyperlink" Target="http://www.timeanddate.com/holidays/us/national-missing-children-day" TargetMode="External"/><Relationship Id="rId123" Type="http://schemas.openxmlformats.org/officeDocument/2006/relationships/hyperlink" Target="http://www.timeanddate.com/holidays/us/tisha-b-av" TargetMode="External"/><Relationship Id="rId128" Type="http://schemas.openxmlformats.org/officeDocument/2006/relationships/hyperlink" Target="http://www.timeanddate.com/holidays/us/bennington-battle-day" TargetMode="External"/><Relationship Id="rId144" Type="http://schemas.openxmlformats.org/officeDocument/2006/relationships/hyperlink" Target="http://www.timeanddate.com/holidays/us/emancipation-day-oh" TargetMode="External"/><Relationship Id="rId149" Type="http://schemas.openxmlformats.org/officeDocument/2006/relationships/hyperlink" Target="http://www.timeanddate.com/holidays/us/native-americans-day" TargetMode="External"/><Relationship Id="rId5" Type="http://schemas.openxmlformats.org/officeDocument/2006/relationships/hyperlink" Target="http://www.timeanddate.com/holidays/us/stephen-foster-memorial-day" TargetMode="External"/><Relationship Id="rId90" Type="http://schemas.openxmlformats.org/officeDocument/2006/relationships/hyperlink" Target="http://www.timeanddate.com/holidays/us/peace-officers-memorial-day" TargetMode="External"/><Relationship Id="rId95" Type="http://schemas.openxmlformats.org/officeDocument/2006/relationships/hyperlink" Target="http://www.timeanddate.com/holidays/us/national-maritime-day" TargetMode="External"/><Relationship Id="rId160" Type="http://schemas.openxmlformats.org/officeDocument/2006/relationships/hyperlink" Target="http://www.timeanddate.com/holidays/us/native-americans-day" TargetMode="External"/><Relationship Id="rId165" Type="http://schemas.openxmlformats.org/officeDocument/2006/relationships/hyperlink" Target="http://www.timeanddate.com/holidays/us/alaska-day" TargetMode="External"/><Relationship Id="rId181" Type="http://schemas.openxmlformats.org/officeDocument/2006/relationships/hyperlink" Target="http://www.timeanddate.com/holidays/us/first-sunday-advent" TargetMode="External"/><Relationship Id="rId186" Type="http://schemas.openxmlformats.org/officeDocument/2006/relationships/hyperlink" Target="http://www.timeanddate.com/holidays/us/immaculate-conception" TargetMode="External"/><Relationship Id="rId22" Type="http://schemas.openxmlformats.org/officeDocument/2006/relationships/hyperlink" Target="http://www.timeanddate.com/holidays/us/valentine-day" TargetMode="External"/><Relationship Id="rId27" Type="http://schemas.openxmlformats.org/officeDocument/2006/relationships/hyperlink" Target="http://www.timeanddate.com/holidays/us/shrove-tuesday" TargetMode="External"/><Relationship Id="rId43" Type="http://schemas.openxmlformats.org/officeDocument/2006/relationships/hyperlink" Target="http://www.timeanddate.com/holidays/us/prince-jonah-kuhio-kalanianaole-day" TargetMode="External"/><Relationship Id="rId48" Type="http://schemas.openxmlformats.org/officeDocument/2006/relationships/hyperlink" Target="http://www.timeanddate.com/holidays/us/pascua-florida-day" TargetMode="External"/><Relationship Id="rId64" Type="http://schemas.openxmlformats.org/officeDocument/2006/relationships/hyperlink" Target="http://www.timeanddate.com/holidays/us/emancipation-day-dc" TargetMode="External"/><Relationship Id="rId69" Type="http://schemas.openxmlformats.org/officeDocument/2006/relationships/hyperlink" Target="http://www.timeanddate.com/holidays/us/administrative-professionals-day" TargetMode="External"/><Relationship Id="rId113" Type="http://schemas.openxmlformats.org/officeDocument/2006/relationships/hyperlink" Target="http://www.timeanddate.com/holidays/us/juneteenth" TargetMode="External"/><Relationship Id="rId118" Type="http://schemas.openxmlformats.org/officeDocument/2006/relationships/hyperlink" Target="http://www.timeanddate.com/holidays/us/independence-day" TargetMode="External"/><Relationship Id="rId134" Type="http://schemas.openxmlformats.org/officeDocument/2006/relationships/hyperlink" Target="http://www.timeanddate.com/holidays/us/lyndon-baines-johnson-day" TargetMode="External"/><Relationship Id="rId139" Type="http://schemas.openxmlformats.org/officeDocument/2006/relationships/hyperlink" Target="http://www.timeanddate.com/holidays/us/national-grandparents-day" TargetMode="External"/><Relationship Id="rId80" Type="http://schemas.openxmlformats.org/officeDocument/2006/relationships/hyperlink" Target="http://www.timeanddate.com/holidays/us/primary-election-indiana" TargetMode="External"/><Relationship Id="rId85" Type="http://schemas.openxmlformats.org/officeDocument/2006/relationships/hyperlink" Target="http://www.timeanddate.com/holidays/us/mothers-day" TargetMode="External"/><Relationship Id="rId150" Type="http://schemas.openxmlformats.org/officeDocument/2006/relationships/hyperlink" Target="http://www.timeanddate.com/holidays/us/gold-star-mothers-day" TargetMode="External"/><Relationship Id="rId155" Type="http://schemas.openxmlformats.org/officeDocument/2006/relationships/hyperlink" Target="http://www.timeanddate.com/holidays/us/child-health-day" TargetMode="External"/><Relationship Id="rId171" Type="http://schemas.openxmlformats.org/officeDocument/2006/relationships/hyperlink" Target="http://www.timeanddate.com/holidays/us/all-souls-day" TargetMode="External"/><Relationship Id="rId176" Type="http://schemas.openxmlformats.org/officeDocument/2006/relationships/hyperlink" Target="http://www.timeanddate.com/holidays/us/robert-e-lee-birthday" TargetMode="External"/><Relationship Id="rId192" Type="http://schemas.openxmlformats.org/officeDocument/2006/relationships/hyperlink" Target="http://www.timeanddate.com/holidays/us/prophet-birthday" TargetMode="External"/><Relationship Id="rId197" Type="http://schemas.openxmlformats.org/officeDocument/2006/relationships/hyperlink" Target="http://www.timeanddate.com/holidays/us/kwanzaa" TargetMode="External"/><Relationship Id="rId201" Type="http://schemas.openxmlformats.org/officeDocument/2006/relationships/hyperlink" Target="http://www.timeanddate.com/holidays/us/new-year-eve" TargetMode="External"/><Relationship Id="rId12" Type="http://schemas.openxmlformats.org/officeDocument/2006/relationships/hyperlink" Target="http://www.timeanddate.com/holidays/us/idaho-human-rights-day" TargetMode="External"/><Relationship Id="rId17" Type="http://schemas.openxmlformats.org/officeDocument/2006/relationships/hyperlink" Target="http://www.timeanddate.com/holidays/us/tu-bshevat" TargetMode="External"/><Relationship Id="rId33" Type="http://schemas.openxmlformats.org/officeDocument/2006/relationships/hyperlink" Target="http://www.timeanddate.com/holidays/us/casimir-pulaski-day" TargetMode="External"/><Relationship Id="rId38" Type="http://schemas.openxmlformats.org/officeDocument/2006/relationships/hyperlink" Target="http://www.timeanddate.com/time/change/usa/new-york" TargetMode="External"/><Relationship Id="rId59" Type="http://schemas.openxmlformats.org/officeDocument/2006/relationships/hyperlink" Target="http://www.timeanddate.com/holidays/us/orthodox-easter-monday" TargetMode="External"/><Relationship Id="rId103" Type="http://schemas.openxmlformats.org/officeDocument/2006/relationships/hyperlink" Target="http://www.timeanddate.com/holidays/us/trinity-sunday" TargetMode="External"/><Relationship Id="rId108" Type="http://schemas.openxmlformats.org/officeDocument/2006/relationships/hyperlink" Target="http://www.timeanddate.com/holidays/us/d-day" TargetMode="External"/><Relationship Id="rId124" Type="http://schemas.openxmlformats.org/officeDocument/2006/relationships/hyperlink" Target="http://www.timeanddate.com/holidays/us/parents-day" TargetMode="External"/><Relationship Id="rId129" Type="http://schemas.openxmlformats.org/officeDocument/2006/relationships/hyperlink" Target="http://www.timeanddate.com/holidays/us/bennington-battle-day" TargetMode="External"/><Relationship Id="rId54" Type="http://schemas.openxmlformats.org/officeDocument/2006/relationships/hyperlink" Target="http://www.timeanddate.com/holidays/us/national-tartan-day" TargetMode="External"/><Relationship Id="rId70" Type="http://schemas.openxmlformats.org/officeDocument/2006/relationships/hyperlink" Target="http://www.timeanddate.com/holidays/us/yom-haatzmaut" TargetMode="External"/><Relationship Id="rId75" Type="http://schemas.openxmlformats.org/officeDocument/2006/relationships/hyperlink" Target="http://www.timeanddate.com/holidays/us/law-day" TargetMode="External"/><Relationship Id="rId91" Type="http://schemas.openxmlformats.org/officeDocument/2006/relationships/hyperlink" Target="http://www.timeanddate.com/holidays/us/national-defense-transportation-day" TargetMode="External"/><Relationship Id="rId96" Type="http://schemas.openxmlformats.org/officeDocument/2006/relationships/hyperlink" Target="http://www.timeanddate.com/holidays/us/harvey-milk-day" TargetMode="External"/><Relationship Id="rId140" Type="http://schemas.openxmlformats.org/officeDocument/2006/relationships/hyperlink" Target="http://www.timeanddate.com/holidays/us/rosh-hashana" TargetMode="External"/><Relationship Id="rId145" Type="http://schemas.openxmlformats.org/officeDocument/2006/relationships/hyperlink" Target="http://www.timeanddate.com/holidays/us/yom-kippur" TargetMode="External"/><Relationship Id="rId161" Type="http://schemas.openxmlformats.org/officeDocument/2006/relationships/hyperlink" Target="http://www.timeanddate.com/holidays/us/native-americans-day" TargetMode="External"/><Relationship Id="rId166" Type="http://schemas.openxmlformats.org/officeDocument/2006/relationships/hyperlink" Target="http://www.timeanddate.com/holidays/us/alaska-day" TargetMode="External"/><Relationship Id="rId182" Type="http://schemas.openxmlformats.org/officeDocument/2006/relationships/hyperlink" Target="http://www.timeanddate.com/holidays/us/cyber-monday" TargetMode="External"/><Relationship Id="rId187" Type="http://schemas.openxmlformats.org/officeDocument/2006/relationships/hyperlink" Target="http://www.timeanddate.com/holidays/us/lady-guadalupe-day" TargetMode="External"/><Relationship Id="rId1" Type="http://schemas.openxmlformats.org/officeDocument/2006/relationships/hyperlink" Target="http://www.timeanddate.com/holidays/us/new-year-day" TargetMode="External"/><Relationship Id="rId6" Type="http://schemas.openxmlformats.org/officeDocument/2006/relationships/hyperlink" Target="http://www.timeanddate.com/holidays/us/orthodox-new-year" TargetMode="External"/><Relationship Id="rId23" Type="http://schemas.openxmlformats.org/officeDocument/2006/relationships/hyperlink" Target="http://www.timeanddate.com/holidays/us/susan-b-anthony-day" TargetMode="External"/><Relationship Id="rId28" Type="http://schemas.openxmlformats.org/officeDocument/2006/relationships/hyperlink" Target="http://www.timeanddate.com/holidays/us/shrove-tuesday" TargetMode="External"/><Relationship Id="rId49" Type="http://schemas.openxmlformats.org/officeDocument/2006/relationships/hyperlink" Target="http://www.timeanddate.com/holidays/us/good-friday" TargetMode="External"/><Relationship Id="rId114" Type="http://schemas.openxmlformats.org/officeDocument/2006/relationships/hyperlink" Target="http://www.timeanddate.com/holidays/us/juneteenth" TargetMode="External"/><Relationship Id="rId119" Type="http://schemas.openxmlformats.org/officeDocument/2006/relationships/hyperlink" Target="http://www.timeanddate.com/holidays/us/independence-day" TargetMode="External"/><Relationship Id="rId44" Type="http://schemas.openxmlformats.org/officeDocument/2006/relationships/hyperlink" Target="http://www.timeanddate.com/holidays/us/palm-sunday" TargetMode="External"/><Relationship Id="rId60" Type="http://schemas.openxmlformats.org/officeDocument/2006/relationships/hyperlink" Target="http://www.timeanddate.com/holidays/us/thomas-jefferson-birthday" TargetMode="External"/><Relationship Id="rId65" Type="http://schemas.openxmlformats.org/officeDocument/2006/relationships/hyperlink" Target="http://www.timeanddate.com/holidays/us/patriots-day" TargetMode="External"/><Relationship Id="rId81" Type="http://schemas.openxmlformats.org/officeDocument/2006/relationships/hyperlink" Target="http://www.timeanddate.com/holidays/us/national-nurses-day" TargetMode="External"/><Relationship Id="rId86" Type="http://schemas.openxmlformats.org/officeDocument/2006/relationships/hyperlink" Target="http://www.timeanddate.com/holidays/us/confederate-memorial-day" TargetMode="External"/><Relationship Id="rId130" Type="http://schemas.openxmlformats.org/officeDocument/2006/relationships/hyperlink" Target="http://www.timeanddate.com/holidays/us/national-aviation-day" TargetMode="External"/><Relationship Id="rId135" Type="http://schemas.openxmlformats.org/officeDocument/2006/relationships/hyperlink" Target="http://www.timeanddate.com/holidays/us/labor-day" TargetMode="External"/><Relationship Id="rId151" Type="http://schemas.openxmlformats.org/officeDocument/2006/relationships/hyperlink" Target="http://www.timeanddate.com/holidays/us/sukkot" TargetMode="External"/><Relationship Id="rId156" Type="http://schemas.openxmlformats.org/officeDocument/2006/relationships/hyperlink" Target="http://www.timeanddate.com/holidays/us/simchat-torah" TargetMode="External"/><Relationship Id="rId177" Type="http://schemas.openxmlformats.org/officeDocument/2006/relationships/hyperlink" Target="http://www.timeanddate.com/holidays/us/lincolns-birthday" TargetMode="External"/><Relationship Id="rId198" Type="http://schemas.openxmlformats.org/officeDocument/2006/relationships/hyperlink" Target="http://www.timeanddate.com/holidays/us/day-after-christmas" TargetMode="External"/><Relationship Id="rId172" Type="http://schemas.openxmlformats.org/officeDocument/2006/relationships/hyperlink" Target="http://www.timeanddate.com/holidays/us/election-day" TargetMode="External"/><Relationship Id="rId193" Type="http://schemas.openxmlformats.org/officeDocument/2006/relationships/hyperlink" Target="http://www.timeanddate.com/holidays/us/christmas-eve" TargetMode="External"/><Relationship Id="rId13" Type="http://schemas.openxmlformats.org/officeDocument/2006/relationships/hyperlink" Target="http://www.timeanddate.com/holidays/us/civil-rights-day" TargetMode="External"/><Relationship Id="rId18" Type="http://schemas.openxmlformats.org/officeDocument/2006/relationships/hyperlink" Target="http://www.timeanddate.com/holidays/us/rosa-parks-day" TargetMode="External"/><Relationship Id="rId39" Type="http://schemas.openxmlformats.org/officeDocument/2006/relationships/hyperlink" Target="http://www.timeanddate.com/holidays/us/st-patrick-day" TargetMode="External"/><Relationship Id="rId109" Type="http://schemas.openxmlformats.org/officeDocument/2006/relationships/hyperlink" Target="http://www.timeanddate.com/holidays/us/kamehameha-day" TargetMode="External"/><Relationship Id="rId34" Type="http://schemas.openxmlformats.org/officeDocument/2006/relationships/hyperlink" Target="http://www.timeanddate.com/holidays/us/read-across-america-day" TargetMode="External"/><Relationship Id="rId50" Type="http://schemas.openxmlformats.org/officeDocument/2006/relationships/hyperlink" Target="http://www.timeanddate.com/holidays/us/holy-saturday" TargetMode="External"/><Relationship Id="rId55" Type="http://schemas.openxmlformats.org/officeDocument/2006/relationships/hyperlink" Target="http://www.timeanddate.com/holidays/us/orthodox-good-friday" TargetMode="External"/><Relationship Id="rId76" Type="http://schemas.openxmlformats.org/officeDocument/2006/relationships/hyperlink" Target="http://www.timeanddate.com/holidays/us/loyalty-day" TargetMode="External"/><Relationship Id="rId97" Type="http://schemas.openxmlformats.org/officeDocument/2006/relationships/hyperlink" Target="http://www.timeanddate.com/holidays/us/pentecost" TargetMode="External"/><Relationship Id="rId104" Type="http://schemas.openxmlformats.org/officeDocument/2006/relationships/hyperlink" Target="http://www.timeanddate.com/holidays/us/statehood-day" TargetMode="External"/><Relationship Id="rId120" Type="http://schemas.openxmlformats.org/officeDocument/2006/relationships/hyperlink" Target="http://www.timeanddate.com/holidays/us/laylat-al-qadr" TargetMode="External"/><Relationship Id="rId125" Type="http://schemas.openxmlformats.org/officeDocument/2006/relationships/hyperlink" Target="http://www.timeanddate.com/holidays/us/colorado-day" TargetMode="External"/><Relationship Id="rId141" Type="http://schemas.openxmlformats.org/officeDocument/2006/relationships/hyperlink" Target="http://www.timeanddate.com/holidays/us/rosh-hashana" TargetMode="External"/><Relationship Id="rId146" Type="http://schemas.openxmlformats.org/officeDocument/2006/relationships/hyperlink" Target="http://www.timeanddate.com/holidays/us/yom-kippur" TargetMode="External"/><Relationship Id="rId167" Type="http://schemas.openxmlformats.org/officeDocument/2006/relationships/hyperlink" Target="http://www.timeanddate.com/holidays/us/nevada-day" TargetMode="External"/><Relationship Id="rId188" Type="http://schemas.openxmlformats.org/officeDocument/2006/relationships/hyperlink" Target="http://www.timeanddate.com/holidays/us/last-day-chanukah" TargetMode="External"/><Relationship Id="rId7" Type="http://schemas.openxmlformats.org/officeDocument/2006/relationships/hyperlink" Target="http://www.timeanddate.com/holidays/us/lee-jackson-day" TargetMode="External"/><Relationship Id="rId71" Type="http://schemas.openxmlformats.org/officeDocument/2006/relationships/hyperlink" Target="http://www.timeanddate.com/holidays/us/arbor-day-nebraska" TargetMode="External"/><Relationship Id="rId92" Type="http://schemas.openxmlformats.org/officeDocument/2006/relationships/hyperlink" Target="http://www.timeanddate.com/holidays/us/isra-miraj" TargetMode="External"/><Relationship Id="rId162" Type="http://schemas.openxmlformats.org/officeDocument/2006/relationships/hyperlink" Target="http://www.timeanddate.com/holidays/us/muharram-new-year" TargetMode="External"/><Relationship Id="rId183" Type="http://schemas.openxmlformats.org/officeDocument/2006/relationships/hyperlink" Target="http://www.timeanddate.com/holidays/us/st-nicholas-day" TargetMode="External"/><Relationship Id="rId2" Type="http://schemas.openxmlformats.org/officeDocument/2006/relationships/hyperlink" Target="http://www.timeanddate.com/holidays/us/prophet-birthday" TargetMode="External"/><Relationship Id="rId29" Type="http://schemas.openxmlformats.org/officeDocument/2006/relationships/hyperlink" Target="http://www.timeanddate.com/holidays/us/ash-wednesday" TargetMode="External"/><Relationship Id="rId24" Type="http://schemas.openxmlformats.org/officeDocument/2006/relationships/hyperlink" Target="http://www.timeanddate.com/holidays/us/washington-birthday" TargetMode="External"/><Relationship Id="rId40" Type="http://schemas.openxmlformats.org/officeDocument/2006/relationships/hyperlink" Target="http://www.timeanddate.com/holidays/us/evacuation-day" TargetMode="External"/><Relationship Id="rId45" Type="http://schemas.openxmlformats.org/officeDocument/2006/relationships/hyperlink" Target="http://www.timeanddate.com/holidays/us/sewards-day" TargetMode="External"/><Relationship Id="rId66" Type="http://schemas.openxmlformats.org/officeDocument/2006/relationships/hyperlink" Target="http://www.timeanddate.com/holidays/us/san-jacinto-day" TargetMode="External"/><Relationship Id="rId87" Type="http://schemas.openxmlformats.org/officeDocument/2006/relationships/hyperlink" Target="http://www.timeanddate.com/holidays/us/confederate-memorial-day" TargetMode="External"/><Relationship Id="rId110" Type="http://schemas.openxmlformats.org/officeDocument/2006/relationships/hyperlink" Target="http://www.timeanddate.com/holidays/us/flag-day" TargetMode="External"/><Relationship Id="rId115" Type="http://schemas.openxmlformats.org/officeDocument/2006/relationships/hyperlink" Target="http://www.timeanddate.com/holidays/us/west-virginia-day" TargetMode="External"/><Relationship Id="rId131" Type="http://schemas.openxmlformats.org/officeDocument/2006/relationships/hyperlink" Target="http://www.timeanddate.com/holidays/us/hawaii-statehood-day" TargetMode="External"/><Relationship Id="rId136" Type="http://schemas.openxmlformats.org/officeDocument/2006/relationships/hyperlink" Target="http://www.timeanddate.com/holidays/us/california-admission-day" TargetMode="External"/><Relationship Id="rId157" Type="http://schemas.openxmlformats.org/officeDocument/2006/relationships/hyperlink" Target="http://www.timeanddate.com/holidays/us/leif-erikson-day" TargetMode="External"/><Relationship Id="rId178" Type="http://schemas.openxmlformats.org/officeDocument/2006/relationships/hyperlink" Target="http://www.timeanddate.com/holidays/us/lincolns-birthday" TargetMode="External"/><Relationship Id="rId61" Type="http://schemas.openxmlformats.org/officeDocument/2006/relationships/hyperlink" Target="http://www.timeanddate.com/holidays/us/yom-hashoah" TargetMode="External"/><Relationship Id="rId82" Type="http://schemas.openxmlformats.org/officeDocument/2006/relationships/hyperlink" Target="http://www.timeanddate.com/holidays/us/lag-b-omer" TargetMode="External"/><Relationship Id="rId152" Type="http://schemas.openxmlformats.org/officeDocument/2006/relationships/hyperlink" Target="http://www.timeanddate.com/holidays/us/st-francis-assisi-feast" TargetMode="External"/><Relationship Id="rId173" Type="http://schemas.openxmlformats.org/officeDocument/2006/relationships/hyperlink" Target="http://www.timeanddate.com/holidays/us/veterans-day" TargetMode="External"/><Relationship Id="rId194" Type="http://schemas.openxmlformats.org/officeDocument/2006/relationships/hyperlink" Target="http://www.timeanddate.com/holidays/us/christmas-eve" TargetMode="External"/><Relationship Id="rId199" Type="http://schemas.openxmlformats.org/officeDocument/2006/relationships/hyperlink" Target="http://www.timeanddate.com/holidays/us/day-after-christmas" TargetMode="External"/><Relationship Id="rId19" Type="http://schemas.openxmlformats.org/officeDocument/2006/relationships/hyperlink" Target="http://www.timeanddate.com/holidays/us/national-wear-red-day" TargetMode="External"/><Relationship Id="rId14" Type="http://schemas.openxmlformats.org/officeDocument/2006/relationships/hyperlink" Target="http://www.timeanddate.com/holidays/us/kansas-day" TargetMode="External"/><Relationship Id="rId30" Type="http://schemas.openxmlformats.org/officeDocument/2006/relationships/hyperlink" Target="http://www.timeanddate.com/holidays/us/chinese-new-year" TargetMode="External"/><Relationship Id="rId35" Type="http://schemas.openxmlformats.org/officeDocument/2006/relationships/hyperlink" Target="http://www.timeanddate.com/holidays/us/town-meeting-day-vermont" TargetMode="External"/><Relationship Id="rId56" Type="http://schemas.openxmlformats.org/officeDocument/2006/relationships/hyperlink" Target="http://www.timeanddate.com/holidays/us/last-day-of-passover" TargetMode="External"/><Relationship Id="rId77" Type="http://schemas.openxmlformats.org/officeDocument/2006/relationships/hyperlink" Target="http://www.timeanddate.com/holidays/us/national-explosive-ordnance-disposal-day" TargetMode="External"/><Relationship Id="rId100" Type="http://schemas.openxmlformats.org/officeDocument/2006/relationships/hyperlink" Target="http://www.timeanddate.com/holidays/us/memorial-day" TargetMode="External"/><Relationship Id="rId105" Type="http://schemas.openxmlformats.org/officeDocument/2006/relationships/hyperlink" Target="http://www.timeanddate.com/holidays/us/jefferson-davis-birthday" TargetMode="External"/><Relationship Id="rId126" Type="http://schemas.openxmlformats.org/officeDocument/2006/relationships/hyperlink" Target="http://www.timeanddate.com/holidays/us/victory-day" TargetMode="External"/><Relationship Id="rId147" Type="http://schemas.openxmlformats.org/officeDocument/2006/relationships/hyperlink" Target="http://www.timeanddate.com/calendar/september-equinox.html" TargetMode="External"/><Relationship Id="rId168" Type="http://schemas.openxmlformats.org/officeDocument/2006/relationships/hyperlink" Target="http://www.timeanddate.com/holidays/us/halloween" TargetMode="External"/><Relationship Id="rId8" Type="http://schemas.openxmlformats.org/officeDocument/2006/relationships/hyperlink" Target="http://www.timeanddate.com/holidays/us/martin-luther-king-day" TargetMode="External"/><Relationship Id="rId51" Type="http://schemas.openxmlformats.org/officeDocument/2006/relationships/hyperlink" Target="http://www.timeanddate.com/holidays/us/first-day-of-passover" TargetMode="External"/><Relationship Id="rId72" Type="http://schemas.openxmlformats.org/officeDocument/2006/relationships/hyperlink" Target="http://www.timeanddate.com/holidays/us/confederate-memorial-day" TargetMode="External"/><Relationship Id="rId93" Type="http://schemas.openxmlformats.org/officeDocument/2006/relationships/hyperlink" Target="http://www.timeanddate.com/holidays/us/armed-forces-day" TargetMode="External"/><Relationship Id="rId98" Type="http://schemas.openxmlformats.org/officeDocument/2006/relationships/hyperlink" Target="http://www.timeanddate.com/holidays/us/shavuot" TargetMode="External"/><Relationship Id="rId121" Type="http://schemas.openxmlformats.org/officeDocument/2006/relationships/hyperlink" Target="http://www.timeanddate.com/holidays/us/eid-al-fitr" TargetMode="External"/><Relationship Id="rId142" Type="http://schemas.openxmlformats.org/officeDocument/2006/relationships/hyperlink" Target="http://www.timeanddate.com/holidays/us/constitution-citizenship-day" TargetMode="External"/><Relationship Id="rId163" Type="http://schemas.openxmlformats.org/officeDocument/2006/relationships/hyperlink" Target="http://www.timeanddate.com/holidays/us/white-cane-safety-day" TargetMode="External"/><Relationship Id="rId184" Type="http://schemas.openxmlformats.org/officeDocument/2006/relationships/hyperlink" Target="http://www.timeanddate.com/holidays/us/chanukah" TargetMode="External"/><Relationship Id="rId189" Type="http://schemas.openxmlformats.org/officeDocument/2006/relationships/hyperlink" Target="http://www.timeanddate.com/holidays/us/pan-american-aviation-day" TargetMode="External"/><Relationship Id="rId3" Type="http://schemas.openxmlformats.org/officeDocument/2006/relationships/hyperlink" Target="http://www.timeanddate.com/holidays/us/epiphany" TargetMode="External"/><Relationship Id="rId25" Type="http://schemas.openxmlformats.org/officeDocument/2006/relationships/hyperlink" Target="http://www.timeanddate.com/holidays/us/daisy-gatson-bates-day" TargetMode="External"/><Relationship Id="rId46" Type="http://schemas.openxmlformats.org/officeDocument/2006/relationships/hyperlink" Target="http://www.timeanddate.com/holidays/us/cesar-chavez-day" TargetMode="External"/><Relationship Id="rId67" Type="http://schemas.openxmlformats.org/officeDocument/2006/relationships/hyperlink" Target="http://www.timeanddate.com/holidays/us/national-library-workers-day" TargetMode="External"/><Relationship Id="rId116" Type="http://schemas.openxmlformats.org/officeDocument/2006/relationships/hyperlink" Target="http://www.timeanddate.com/calendar/june-solstice.html" TargetMode="External"/><Relationship Id="rId137" Type="http://schemas.openxmlformats.org/officeDocument/2006/relationships/hyperlink" Target="http://www.timeanddate.com/holidays/us/patriot-day" TargetMode="External"/><Relationship Id="rId158" Type="http://schemas.openxmlformats.org/officeDocument/2006/relationships/hyperlink" Target="http://www.timeanddate.com/holidays/us/columbus-day" TargetMode="External"/><Relationship Id="rId20" Type="http://schemas.openxmlformats.org/officeDocument/2006/relationships/hyperlink" Target="http://www.timeanddate.com/holidays/us/lincolns-birthday" TargetMode="External"/><Relationship Id="rId41" Type="http://schemas.openxmlformats.org/officeDocument/2006/relationships/hyperlink" Target="http://www.timeanddate.com/calendar/march-equinox.html" TargetMode="External"/><Relationship Id="rId62" Type="http://schemas.openxmlformats.org/officeDocument/2006/relationships/hyperlink" Target="http://www.timeanddate.com/holidays/us/tax-day" TargetMode="External"/><Relationship Id="rId83" Type="http://schemas.openxmlformats.org/officeDocument/2006/relationships/hyperlink" Target="http://www.timeanddate.com/holidays/us/national-day-prayer" TargetMode="External"/><Relationship Id="rId88" Type="http://schemas.openxmlformats.org/officeDocument/2006/relationships/hyperlink" Target="http://www.timeanddate.com/holidays/us/confederate-memorial-day" TargetMode="External"/><Relationship Id="rId111" Type="http://schemas.openxmlformats.org/officeDocument/2006/relationships/hyperlink" Target="http://www.timeanddate.com/holidays/us/bunker-hill-day" TargetMode="External"/><Relationship Id="rId132" Type="http://schemas.openxmlformats.org/officeDocument/2006/relationships/hyperlink" Target="http://www.timeanddate.com/holidays/us/senior-citizens-day" TargetMode="External"/><Relationship Id="rId153" Type="http://schemas.openxmlformats.org/officeDocument/2006/relationships/hyperlink" Target="http://www.timeanddate.com/holidays/us/last-day-of-sukkot" TargetMode="External"/><Relationship Id="rId174" Type="http://schemas.openxmlformats.org/officeDocument/2006/relationships/hyperlink" Target="http://www.timeanddate.com/holidays/us/diwali" TargetMode="External"/><Relationship Id="rId179" Type="http://schemas.openxmlformats.org/officeDocument/2006/relationships/hyperlink" Target="http://www.timeanddate.com/holidays/us/black-friday" TargetMode="External"/><Relationship Id="rId195" Type="http://schemas.openxmlformats.org/officeDocument/2006/relationships/hyperlink" Target="http://www.timeanddate.com/holidays/us/washington-birthday" TargetMode="External"/><Relationship Id="rId190" Type="http://schemas.openxmlformats.org/officeDocument/2006/relationships/hyperlink" Target="http://www.timeanddate.com/holidays/us/wright-brothers-day" TargetMode="External"/><Relationship Id="rId15" Type="http://schemas.openxmlformats.org/officeDocument/2006/relationships/hyperlink" Target="http://www.timeanddate.com/holidays/us/national-freedom-day" TargetMode="External"/><Relationship Id="rId36" Type="http://schemas.openxmlformats.org/officeDocument/2006/relationships/hyperlink" Target="http://www.timeanddate.com/holidays/us/purim" TargetMode="External"/><Relationship Id="rId57" Type="http://schemas.openxmlformats.org/officeDocument/2006/relationships/hyperlink" Target="http://www.timeanddate.com/holidays/us/orthodox-holy-saturday" TargetMode="External"/><Relationship Id="rId106" Type="http://schemas.openxmlformats.org/officeDocument/2006/relationships/hyperlink" Target="http://www.timeanddate.com/holidays/us/jefferson-davis-birthday" TargetMode="External"/><Relationship Id="rId127" Type="http://schemas.openxmlformats.org/officeDocument/2006/relationships/hyperlink" Target="http://www.timeanddate.com/holidays/us/assumption-of-mary" TargetMode="External"/><Relationship Id="rId10" Type="http://schemas.openxmlformats.org/officeDocument/2006/relationships/hyperlink" Target="http://www.timeanddate.com/holidays/us/robert-e-lee-birthday" TargetMode="External"/><Relationship Id="rId31" Type="http://schemas.openxmlformats.org/officeDocument/2006/relationships/hyperlink" Target="http://www.timeanddate.com/holidays/us/st-david-day" TargetMode="External"/><Relationship Id="rId52" Type="http://schemas.openxmlformats.org/officeDocument/2006/relationships/hyperlink" Target="http://www.timeanddate.com/holidays/us/easter-sunday" TargetMode="External"/><Relationship Id="rId73" Type="http://schemas.openxmlformats.org/officeDocument/2006/relationships/hyperlink" Target="http://www.timeanddate.com/holidays/us/confederate-memorial-day" TargetMode="External"/><Relationship Id="rId78" Type="http://schemas.openxmlformats.org/officeDocument/2006/relationships/hyperlink" Target="http://www.timeanddate.com/holidays/us/rhode-island-independence-day" TargetMode="External"/><Relationship Id="rId94" Type="http://schemas.openxmlformats.org/officeDocument/2006/relationships/hyperlink" Target="http://www.timeanddate.com/holidays/us/medical-service-children-day" TargetMode="External"/><Relationship Id="rId99" Type="http://schemas.openxmlformats.org/officeDocument/2006/relationships/hyperlink" Target="http://www.timeanddate.com/holidays/us/whit-monday" TargetMode="External"/><Relationship Id="rId101" Type="http://schemas.openxmlformats.org/officeDocument/2006/relationships/hyperlink" Target="http://www.timeanddate.com/holidays/us/jefferson-davis-birthday" TargetMode="External"/><Relationship Id="rId122" Type="http://schemas.openxmlformats.org/officeDocument/2006/relationships/hyperlink" Target="http://www.timeanddate.com/holidays/us/pioneer-day" TargetMode="External"/><Relationship Id="rId143" Type="http://schemas.openxmlformats.org/officeDocument/2006/relationships/hyperlink" Target="http://www.timeanddate.com/holidays/us/pow-mia-recognition-day" TargetMode="External"/><Relationship Id="rId148" Type="http://schemas.openxmlformats.org/officeDocument/2006/relationships/hyperlink" Target="http://www.timeanddate.com/holidays/us/eid-al-adha" TargetMode="External"/><Relationship Id="rId164" Type="http://schemas.openxmlformats.org/officeDocument/2006/relationships/hyperlink" Target="http://www.timeanddate.com/holidays/us/boss-day" TargetMode="External"/><Relationship Id="rId169" Type="http://schemas.openxmlformats.org/officeDocument/2006/relationships/hyperlink" Target="http://www.timeanddate.com/holidays/us/all-saints-day" TargetMode="External"/><Relationship Id="rId185" Type="http://schemas.openxmlformats.org/officeDocument/2006/relationships/hyperlink" Target="http://www.timeanddate.com/holidays/us/pearl-harbor-remembrance-day" TargetMode="External"/><Relationship Id="rId4" Type="http://schemas.openxmlformats.org/officeDocument/2006/relationships/hyperlink" Target="http://www.timeanddate.com/holidays/us/orthodox-christmas-day" TargetMode="External"/><Relationship Id="rId9" Type="http://schemas.openxmlformats.org/officeDocument/2006/relationships/hyperlink" Target="http://www.timeanddate.com/holidays/us/robert-e-lee-birthday" TargetMode="External"/><Relationship Id="rId180" Type="http://schemas.openxmlformats.org/officeDocument/2006/relationships/hyperlink" Target="http://www.timeanddate.com/holidays/us/american-indian-heritage-day" TargetMode="External"/><Relationship Id="rId26" Type="http://schemas.openxmlformats.org/officeDocument/2006/relationships/hyperlink" Target="http://www.timeanddate.com/holidays/us/shrove-tuesday" TargetMode="External"/><Relationship Id="rId47" Type="http://schemas.openxmlformats.org/officeDocument/2006/relationships/hyperlink" Target="http://www.timeanddate.com/holidays/us/maundy-thursday" TargetMode="External"/><Relationship Id="rId68" Type="http://schemas.openxmlformats.org/officeDocument/2006/relationships/hyperlink" Target="http://www.timeanddate.com/holidays/us/oklahoma-day" TargetMode="External"/><Relationship Id="rId89" Type="http://schemas.openxmlformats.org/officeDocument/2006/relationships/hyperlink" Target="http://www.timeanddate.com/holidays/us/ascension-day" TargetMode="External"/><Relationship Id="rId112" Type="http://schemas.openxmlformats.org/officeDocument/2006/relationships/hyperlink" Target="http://www.timeanddate.com/holidays/us/ramadan-begins" TargetMode="External"/><Relationship Id="rId133" Type="http://schemas.openxmlformats.org/officeDocument/2006/relationships/hyperlink" Target="http://www.timeanddate.com/holidays/us/women-equality-day" TargetMode="External"/><Relationship Id="rId154" Type="http://schemas.openxmlformats.org/officeDocument/2006/relationships/hyperlink" Target="http://www.timeanddate.com/holidays/us/shmini-atzeret" TargetMode="External"/><Relationship Id="rId175" Type="http://schemas.openxmlformats.org/officeDocument/2006/relationships/hyperlink" Target="http://www.timeanddate.com/holidays/us/thanksgiving-d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C1:AK57"/>
  <sheetViews>
    <sheetView showGridLines="0" tabSelected="1" view="pageBreakPreview" zoomScale="60" zoomScaleNormal="100" workbookViewId="0">
      <selection activeCell="Q32" sqref="Q32"/>
    </sheetView>
  </sheetViews>
  <sheetFormatPr defaultRowHeight="12.75" x14ac:dyDescent="0.2"/>
  <cols>
    <col min="1" max="1" width="3.42578125" customWidth="1"/>
    <col min="2" max="37" width="5.7109375" customWidth="1"/>
  </cols>
  <sheetData>
    <row r="1" spans="3:36" ht="20.25" customHeight="1" x14ac:dyDescent="0.2"/>
    <row r="2" spans="3:36" ht="15" customHeight="1" x14ac:dyDescent="0.2">
      <c r="C2" s="18"/>
      <c r="D2" s="18"/>
      <c r="E2" s="19"/>
      <c r="F2" s="19"/>
      <c r="G2" s="19"/>
      <c r="H2" s="19"/>
      <c r="I2" s="19"/>
      <c r="J2" s="19"/>
      <c r="K2" s="19"/>
      <c r="L2" s="19"/>
      <c r="M2" s="19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</row>
    <row r="3" spans="3:36" ht="34.5" x14ac:dyDescent="0.45">
      <c r="C3" s="19"/>
      <c r="D3" s="74" t="s">
        <v>9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5">
        <v>2017</v>
      </c>
      <c r="AF3" s="75"/>
      <c r="AG3" s="75"/>
      <c r="AH3" s="75"/>
      <c r="AI3" s="75"/>
      <c r="AJ3" s="18"/>
    </row>
    <row r="4" spans="3:36" ht="9.75" customHeight="1" x14ac:dyDescent="0.2"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</row>
    <row r="5" spans="3:36" ht="15.75" x14ac:dyDescent="0.25">
      <c r="C5" s="18"/>
      <c r="D5" s="4" t="s">
        <v>1</v>
      </c>
      <c r="E5" s="20"/>
      <c r="F5" s="21"/>
      <c r="G5" s="21"/>
      <c r="H5" s="22"/>
      <c r="I5" s="22"/>
      <c r="J5" s="22"/>
      <c r="K5" s="22"/>
      <c r="L5" s="22"/>
      <c r="M5" s="4"/>
      <c r="N5" s="23"/>
      <c r="O5" s="22"/>
      <c r="P5" s="23"/>
      <c r="Q5" s="23"/>
      <c r="R5" s="23"/>
      <c r="S5" s="18"/>
      <c r="T5" s="18"/>
      <c r="U5" s="16" t="s">
        <v>2</v>
      </c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18"/>
      <c r="AJ5" s="18"/>
    </row>
    <row r="6" spans="3:36" x14ac:dyDescent="0.2">
      <c r="C6" s="5"/>
      <c r="D6" s="79">
        <v>40909</v>
      </c>
      <c r="E6" s="79"/>
      <c r="F6" s="79"/>
      <c r="G6" s="79"/>
      <c r="H6" s="77" t="s">
        <v>0</v>
      </c>
      <c r="I6" s="77"/>
      <c r="J6" s="77"/>
      <c r="K6" s="77"/>
      <c r="L6" s="77"/>
      <c r="M6" s="77"/>
      <c r="N6" s="77"/>
      <c r="O6" s="77"/>
      <c r="P6" s="77"/>
      <c r="Q6" s="77"/>
      <c r="R6" s="17"/>
      <c r="S6" s="7"/>
      <c r="T6" s="5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5"/>
    </row>
    <row r="7" spans="3:36" ht="14.25" x14ac:dyDescent="0.2">
      <c r="C7" s="6"/>
      <c r="D7" s="79">
        <v>40993</v>
      </c>
      <c r="E7" s="79"/>
      <c r="F7" s="79"/>
      <c r="G7" s="79"/>
      <c r="H7" s="77" t="s">
        <v>8</v>
      </c>
      <c r="I7" s="77"/>
      <c r="J7" s="77"/>
      <c r="K7" s="77"/>
      <c r="L7" s="77"/>
      <c r="M7" s="77"/>
      <c r="N7" s="77"/>
      <c r="O7" s="77"/>
      <c r="P7" s="77"/>
      <c r="Q7" s="77"/>
      <c r="R7" s="17"/>
      <c r="S7" s="7"/>
      <c r="T7" s="5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5"/>
    </row>
    <row r="8" spans="3:36" ht="14.25" x14ac:dyDescent="0.2">
      <c r="C8" s="6"/>
      <c r="D8" s="79"/>
      <c r="E8" s="79"/>
      <c r="F8" s="79"/>
      <c r="G8" s="79"/>
      <c r="H8" s="77"/>
      <c r="I8" s="77"/>
      <c r="J8" s="77"/>
      <c r="K8" s="77"/>
      <c r="L8" s="77"/>
      <c r="M8" s="77"/>
      <c r="N8" s="77"/>
      <c r="O8" s="77"/>
      <c r="P8" s="77"/>
      <c r="Q8" s="77"/>
      <c r="R8" s="17"/>
      <c r="S8" s="7"/>
      <c r="T8" s="5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5"/>
    </row>
    <row r="9" spans="3:36" ht="14.25" x14ac:dyDescent="0.2">
      <c r="C9" s="6"/>
      <c r="D9" s="79"/>
      <c r="E9" s="79"/>
      <c r="F9" s="79"/>
      <c r="G9" s="79"/>
      <c r="H9" s="77"/>
      <c r="I9" s="77"/>
      <c r="J9" s="77"/>
      <c r="K9" s="77"/>
      <c r="L9" s="77"/>
      <c r="M9" s="77"/>
      <c r="N9" s="77"/>
      <c r="O9" s="77"/>
      <c r="P9" s="77"/>
      <c r="Q9" s="77"/>
      <c r="R9" s="17"/>
      <c r="S9" s="7"/>
      <c r="T9" s="5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5"/>
    </row>
    <row r="10" spans="3:36" ht="14.25" x14ac:dyDescent="0.2">
      <c r="C10" s="6"/>
      <c r="D10" s="79"/>
      <c r="E10" s="79"/>
      <c r="F10" s="79"/>
      <c r="G10" s="79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17"/>
      <c r="S10" s="7"/>
      <c r="T10" s="5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5"/>
    </row>
    <row r="11" spans="3:36" ht="14.25" x14ac:dyDescent="0.2">
      <c r="C11" s="6"/>
      <c r="D11" s="79"/>
      <c r="E11" s="79"/>
      <c r="F11" s="79"/>
      <c r="G11" s="79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17"/>
      <c r="S11" s="7"/>
      <c r="T11" s="5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5"/>
    </row>
    <row r="12" spans="3:36" ht="14.25" x14ac:dyDescent="0.2">
      <c r="C12" s="6"/>
      <c r="D12" s="79"/>
      <c r="E12" s="79"/>
      <c r="F12" s="79"/>
      <c r="G12" s="79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17"/>
      <c r="S12" s="7"/>
      <c r="T12" s="5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5"/>
    </row>
    <row r="13" spans="3:36" ht="14.25" x14ac:dyDescent="0.2">
      <c r="C13" s="6"/>
      <c r="D13" s="79"/>
      <c r="E13" s="79"/>
      <c r="F13" s="79"/>
      <c r="G13" s="79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17"/>
      <c r="S13" s="7"/>
      <c r="T13" s="5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5"/>
    </row>
    <row r="14" spans="3:36" ht="14.25" x14ac:dyDescent="0.2">
      <c r="C14" s="6"/>
      <c r="D14" s="79"/>
      <c r="E14" s="79"/>
      <c r="F14" s="79"/>
      <c r="G14" s="79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17"/>
      <c r="S14" s="7"/>
      <c r="T14" s="5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5"/>
    </row>
    <row r="15" spans="3:36" ht="14.25" x14ac:dyDescent="0.2">
      <c r="C15" s="6"/>
      <c r="D15" s="79"/>
      <c r="E15" s="79"/>
      <c r="F15" s="79"/>
      <c r="G15" s="79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17"/>
      <c r="S15" s="7"/>
      <c r="T15" s="5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5"/>
    </row>
    <row r="16" spans="3:36" ht="14.25" x14ac:dyDescent="0.2">
      <c r="C16" s="6"/>
      <c r="D16" s="79"/>
      <c r="E16" s="79"/>
      <c r="F16" s="79"/>
      <c r="G16" s="79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17"/>
      <c r="S16" s="7"/>
      <c r="T16" s="5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5"/>
    </row>
    <row r="17" spans="3:37" ht="14.25" x14ac:dyDescent="0.2">
      <c r="C17" s="6"/>
      <c r="D17" s="79"/>
      <c r="E17" s="79"/>
      <c r="F17" s="79"/>
      <c r="G17" s="79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17"/>
      <c r="S17" s="7"/>
      <c r="T17" s="5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5"/>
    </row>
    <row r="18" spans="3:37" ht="14.25" x14ac:dyDescent="0.2">
      <c r="C18" s="6"/>
      <c r="D18" s="79"/>
      <c r="E18" s="79"/>
      <c r="F18" s="79"/>
      <c r="G18" s="79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17"/>
      <c r="S18" s="7"/>
      <c r="T18" s="5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5"/>
    </row>
    <row r="19" spans="3:37" ht="14.25" x14ac:dyDescent="0.2">
      <c r="C19" s="6"/>
      <c r="D19" s="79"/>
      <c r="E19" s="79"/>
      <c r="F19" s="79"/>
      <c r="G19" s="79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17"/>
      <c r="S19" s="7"/>
      <c r="T19" s="5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5"/>
    </row>
    <row r="20" spans="3:37" ht="14.25" x14ac:dyDescent="0.2">
      <c r="C20" s="6"/>
      <c r="D20" s="79"/>
      <c r="E20" s="79"/>
      <c r="F20" s="79"/>
      <c r="G20" s="79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17"/>
      <c r="S20" s="7"/>
      <c r="T20" s="5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5"/>
    </row>
    <row r="21" spans="3:37" ht="14.25" x14ac:dyDescent="0.2">
      <c r="C21" s="6"/>
      <c r="D21" s="81"/>
      <c r="E21" s="81"/>
      <c r="F21" s="7"/>
      <c r="G21" s="7"/>
      <c r="H21" s="7"/>
      <c r="I21" s="7"/>
      <c r="J21" s="7"/>
      <c r="K21" s="7"/>
      <c r="L21" s="7"/>
      <c r="M21" s="6"/>
      <c r="N21" s="6"/>
      <c r="O21" s="6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3:37" ht="14.25" x14ac:dyDescent="0.2">
      <c r="C22" s="11"/>
      <c r="D22" s="80"/>
      <c r="E22" s="80"/>
      <c r="F22" s="12"/>
      <c r="G22" s="12"/>
      <c r="H22" s="12"/>
      <c r="I22" s="13"/>
      <c r="J22" s="13"/>
      <c r="K22" s="13"/>
      <c r="L22" s="13"/>
      <c r="M22" s="14"/>
      <c r="N22" s="14"/>
      <c r="O22" s="14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3:37" ht="14.25" x14ac:dyDescent="0.2">
      <c r="C23" s="11"/>
      <c r="D23" s="24"/>
      <c r="E23" s="24"/>
      <c r="F23" s="24"/>
      <c r="G23" s="24"/>
      <c r="H23" s="24"/>
      <c r="I23" s="13"/>
      <c r="J23" s="13"/>
      <c r="K23" s="13"/>
      <c r="L23" s="13"/>
      <c r="M23" s="14"/>
      <c r="N23" s="14"/>
      <c r="O23" s="14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3:37" ht="14.25" x14ac:dyDescent="0.2">
      <c r="C24" s="11"/>
      <c r="D24" s="24"/>
      <c r="E24" s="24"/>
      <c r="F24" s="24"/>
      <c r="G24" s="24"/>
      <c r="H24" s="24"/>
      <c r="I24" s="13"/>
      <c r="J24" s="13"/>
      <c r="K24" s="13"/>
      <c r="L24" s="13"/>
      <c r="M24" s="14"/>
      <c r="N24" s="14"/>
      <c r="O24" s="14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3:37" x14ac:dyDescent="0.2">
      <c r="AK25" s="15"/>
    </row>
    <row r="26" spans="3:37" ht="14.25" x14ac:dyDescent="0.2">
      <c r="C26" s="11"/>
      <c r="D26" s="24"/>
      <c r="E26" s="24"/>
      <c r="F26" s="24"/>
      <c r="G26" s="24"/>
      <c r="H26" s="24"/>
      <c r="I26" s="13"/>
      <c r="J26" s="13"/>
      <c r="K26" s="13"/>
      <c r="L26" s="13"/>
      <c r="M26" s="14"/>
      <c r="N26" s="14"/>
      <c r="O26" s="14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3:37" ht="14.25" x14ac:dyDescent="0.2">
      <c r="C27" s="11"/>
      <c r="D27" s="24"/>
      <c r="E27" s="24"/>
      <c r="F27" s="24"/>
      <c r="G27" s="24"/>
      <c r="H27" s="24"/>
      <c r="I27" s="13"/>
      <c r="J27" s="13"/>
      <c r="K27" s="13"/>
      <c r="L27" s="13"/>
      <c r="M27" s="14"/>
      <c r="N27" s="14"/>
      <c r="O27" s="14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3:37" ht="76.5" x14ac:dyDescent="0.2">
      <c r="C28" s="73">
        <f>+CalendarYear</f>
        <v>2017</v>
      </c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</row>
    <row r="29" spans="3:37" ht="14.25" x14ac:dyDescent="0.2">
      <c r="C29" s="11"/>
      <c r="D29" s="24"/>
      <c r="E29" s="24"/>
      <c r="F29" s="24"/>
      <c r="G29" s="24"/>
      <c r="H29" s="24"/>
      <c r="I29" s="13"/>
      <c r="J29" s="13"/>
      <c r="K29" s="13"/>
      <c r="L29" s="13"/>
      <c r="M29" s="14"/>
      <c r="N29" s="14"/>
      <c r="O29" s="14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3:37" ht="33.75" customHeight="1" x14ac:dyDescent="0.2"/>
    <row r="31" spans="3:37" s="64" customFormat="1" ht="30" customHeight="1" x14ac:dyDescent="0.5">
      <c r="C31" s="82">
        <f>DATE(CalendarYear,1,1)</f>
        <v>42736</v>
      </c>
      <c r="D31" s="82"/>
      <c r="E31" s="82"/>
      <c r="F31" s="82"/>
      <c r="G31" s="82"/>
      <c r="H31" s="82"/>
      <c r="I31" s="82"/>
      <c r="J31" s="62"/>
      <c r="K31" s="63"/>
      <c r="L31" s="82">
        <f>DATE(CalendarYear,2,1)</f>
        <v>42767</v>
      </c>
      <c r="M31" s="82"/>
      <c r="N31" s="82"/>
      <c r="O31" s="82"/>
      <c r="P31" s="82"/>
      <c r="Q31" s="82"/>
      <c r="R31" s="82"/>
      <c r="S31" s="62"/>
      <c r="U31" s="82">
        <f>DATE(CalendarYear,3,1)</f>
        <v>42795</v>
      </c>
      <c r="V31" s="82"/>
      <c r="W31" s="82"/>
      <c r="X31" s="82"/>
      <c r="Y31" s="82"/>
      <c r="Z31" s="82"/>
      <c r="AA31" s="82"/>
      <c r="AB31" s="62"/>
      <c r="AC31" s="65"/>
      <c r="AD31" s="82">
        <f>DATE(CalendarYear,4,1)</f>
        <v>42826</v>
      </c>
      <c r="AE31" s="82"/>
      <c r="AF31" s="82"/>
      <c r="AG31" s="82"/>
      <c r="AH31" s="82"/>
      <c r="AI31" s="82"/>
      <c r="AJ31" s="82"/>
    </row>
    <row r="32" spans="3:37" s="56" customFormat="1" ht="30" customHeight="1" x14ac:dyDescent="0.4">
      <c r="C32" s="58" t="s">
        <v>3</v>
      </c>
      <c r="D32" s="58" t="s">
        <v>4</v>
      </c>
      <c r="E32" s="58" t="s">
        <v>5</v>
      </c>
      <c r="F32" s="58" t="s">
        <v>6</v>
      </c>
      <c r="G32" s="58" t="s">
        <v>5</v>
      </c>
      <c r="H32" s="58" t="s">
        <v>7</v>
      </c>
      <c r="I32" s="58" t="s">
        <v>3</v>
      </c>
      <c r="J32" s="59"/>
      <c r="K32" s="60"/>
      <c r="L32" s="58" t="s">
        <v>3</v>
      </c>
      <c r="M32" s="58" t="s">
        <v>4</v>
      </c>
      <c r="N32" s="58" t="s">
        <v>5</v>
      </c>
      <c r="O32" s="58" t="s">
        <v>6</v>
      </c>
      <c r="P32" s="58" t="s">
        <v>5</v>
      </c>
      <c r="Q32" s="58" t="s">
        <v>7</v>
      </c>
      <c r="R32" s="58" t="s">
        <v>3</v>
      </c>
      <c r="S32" s="59"/>
      <c r="U32" s="58" t="s">
        <v>3</v>
      </c>
      <c r="V32" s="58" t="s">
        <v>4</v>
      </c>
      <c r="W32" s="58" t="s">
        <v>5</v>
      </c>
      <c r="X32" s="58" t="s">
        <v>6</v>
      </c>
      <c r="Y32" s="58" t="s">
        <v>5</v>
      </c>
      <c r="Z32" s="58" t="s">
        <v>7</v>
      </c>
      <c r="AA32" s="58" t="s">
        <v>3</v>
      </c>
      <c r="AB32" s="59"/>
      <c r="AC32" s="55"/>
      <c r="AD32" s="58" t="s">
        <v>3</v>
      </c>
      <c r="AE32" s="58" t="s">
        <v>4</v>
      </c>
      <c r="AF32" s="58" t="s">
        <v>5</v>
      </c>
      <c r="AG32" s="58" t="s">
        <v>6</v>
      </c>
      <c r="AH32" s="58" t="s">
        <v>5</v>
      </c>
      <c r="AI32" s="58" t="s">
        <v>7</v>
      </c>
      <c r="AJ32" s="58" t="s">
        <v>3</v>
      </c>
    </row>
    <row r="33" spans="3:36" s="69" customFormat="1" ht="30" customHeight="1" x14ac:dyDescent="0.35">
      <c r="C33" s="67">
        <f>IF(DAY(JanSun1)=1,"",IF(AND(YEAR(JanSun1+1)=CalendarYear,MONTH(JanSun1+1)=1),JanSun1+1,""))</f>
        <v>42736</v>
      </c>
      <c r="D33" s="67">
        <f>IF(DAY(JanSun1)=1,"",IF(AND(YEAR(JanSun1+2)=CalendarYear,MONTH(JanSun1+2)=1),JanSun1+2,""))</f>
        <v>42737</v>
      </c>
      <c r="E33" s="67">
        <f>IF(DAY(JanSun1)=1,"",IF(AND(YEAR(JanSun1+3)=CalendarYear,MONTH(JanSun1+3)=1),JanSun1+3,""))</f>
        <v>42738</v>
      </c>
      <c r="F33" s="67">
        <f>IF(DAY(JanSun1)=1,"",IF(AND(YEAR(JanSun1+4)=CalendarYear,MONTH(JanSun1+4)=1),JanSun1+4,""))</f>
        <v>42739</v>
      </c>
      <c r="G33" s="67">
        <f>IF(DAY(JanSun1)=1,"",IF(AND(YEAR(JanSun1+5)=CalendarYear,MONTH(JanSun1+5)=1),JanSun1+5,""))</f>
        <v>42740</v>
      </c>
      <c r="H33" s="67">
        <f>IF(DAY(JanSun1)=1,"",IF(AND(YEAR(JanSun1+6)=CalendarYear,MONTH(JanSun1+6)=1),JanSun1+6,""))</f>
        <v>42741</v>
      </c>
      <c r="I33" s="67">
        <f>IF(DAY(JanSun1)=1,IF(AND(YEAR(JanSun1)=CalendarYear,MONTH(JanSun1)=1),JanSun1,""),IF(AND(YEAR(JanSun1+7)=CalendarYear,MONTH(JanSun1+7)=1),JanSun1+7,""))</f>
        <v>42742</v>
      </c>
      <c r="J33" s="68"/>
      <c r="K33" s="67"/>
      <c r="L33" s="67" t="str">
        <f>IF(DAY(FebSun1)=1,"",IF(AND(YEAR(FebSun1+1)=CalendarYear,MONTH(FebSun1+1)=2),FebSun1+1,""))</f>
        <v/>
      </c>
      <c r="M33" s="67" t="str">
        <f>IF(DAY(FebSun1)=1,"",IF(AND(YEAR(FebSun1+2)=CalendarYear,MONTH(FebSun1+2)=2),FebSun1+2,""))</f>
        <v/>
      </c>
      <c r="N33" s="67" t="str">
        <f>IF(DAY(FebSun1)=1,"",IF(AND(YEAR(FebSun1+3)=CalendarYear,MONTH(FebSun1+3)=2),FebSun1+3,""))</f>
        <v/>
      </c>
      <c r="O33" s="67">
        <f>IF(DAY(FebSun1)=1,"",IF(AND(YEAR(FebSun1+4)=CalendarYear,MONTH(FebSun1+4)=2),FebSun1+4,""))</f>
        <v>42767</v>
      </c>
      <c r="P33" s="67">
        <f>IF(DAY(FebSun1)=1,"",IF(AND(YEAR(FebSun1+5)=CalendarYear,MONTH(FebSun1+5)=2),FebSun1+5,""))</f>
        <v>42768</v>
      </c>
      <c r="Q33" s="67">
        <f>IF(DAY(FebSun1)=1,"",IF(AND(YEAR(FebSun1+6)=CalendarYear,MONTH(FebSun1+6)=2),FebSun1+6,""))</f>
        <v>42769</v>
      </c>
      <c r="R33" s="67">
        <f>IF(DAY(FebSun1)=1,IF(AND(YEAR(FebSun1)=CalendarYear,MONTH(FebSun1)=2),FebSun1,""),IF(AND(YEAR(FebSun1+7)=CalendarYear,MONTH(FebSun1+7)=2),FebSun1+7,""))</f>
        <v>42770</v>
      </c>
      <c r="S33" s="68"/>
      <c r="U33" s="67" t="str">
        <f>IF(DAY(MarSun1)=1,"",IF(AND(YEAR(MarSun1+1)=CalendarYear,MONTH(MarSun1+1)=3),MarSun1+1,""))</f>
        <v/>
      </c>
      <c r="V33" s="67" t="str">
        <f>IF(DAY(MarSun1)=1,"",IF(AND(YEAR(MarSun1+2)=CalendarYear,MONTH(MarSun1+2)=3),MarSun1+2,""))</f>
        <v/>
      </c>
      <c r="W33" s="67" t="str">
        <f>IF(DAY(MarSun1)=1,"",IF(AND(YEAR(MarSun1+3)=CalendarYear,MONTH(MarSun1+3)=3),MarSun1+3,""))</f>
        <v/>
      </c>
      <c r="X33" s="67">
        <f>IF(DAY(MarSun1)=1,"",IF(AND(YEAR(MarSun1+4)=CalendarYear,MONTH(MarSun1+4)=3),MarSun1+4,""))</f>
        <v>42795</v>
      </c>
      <c r="Y33" s="67">
        <f>IF(DAY(MarSun1)=1,"",IF(AND(YEAR(MarSun1+5)=CalendarYear,MONTH(MarSun1+5)=3),MarSun1+5,""))</f>
        <v>42796</v>
      </c>
      <c r="Z33" s="67">
        <f>IF(DAY(MarSun1)=1,"",IF(AND(YEAR(MarSun1+6)=CalendarYear,MONTH(MarSun1+6)=3),MarSun1+6,""))</f>
        <v>42797</v>
      </c>
      <c r="AA33" s="67">
        <f>IF(DAY(MarSun1)=1,IF(AND(YEAR(MarSun1)=CalendarYear,MONTH(MarSun1)=3),MarSun1,""),IF(AND(YEAR(MarSun1+7)=CalendarYear,MONTH(MarSun1+7)=3),MarSun1+7,""))</f>
        <v>42798</v>
      </c>
      <c r="AB33" s="68"/>
      <c r="AC33" s="70"/>
      <c r="AD33" s="67" t="str">
        <f>IF(DAY(AprSun1)=1,"",IF(AND(YEAR(AprSun1+1)=CalendarYear,MONTH(AprSun1+1)=4),AprSun1+1,""))</f>
        <v/>
      </c>
      <c r="AE33" s="67" t="str">
        <f>IF(DAY(AprSun1)=1,"",IF(AND(YEAR(AprSun1+2)=CalendarYear,MONTH(AprSun1+2)=4),AprSun1+2,""))</f>
        <v/>
      </c>
      <c r="AF33" s="67" t="str">
        <f>IF(DAY(AprSun1)=1,"",IF(AND(YEAR(AprSun1+3)=CalendarYear,MONTH(AprSun1+3)=4),AprSun1+3,""))</f>
        <v/>
      </c>
      <c r="AG33" s="67" t="str">
        <f>IF(DAY(AprSun1)=1,"",IF(AND(YEAR(AprSun1+4)=CalendarYear,MONTH(AprSun1+4)=4),AprSun1+4,""))</f>
        <v/>
      </c>
      <c r="AH33" s="67" t="str">
        <f>IF(DAY(AprSun1)=1,"",IF(AND(YEAR(AprSun1+5)=CalendarYear,MONTH(AprSun1+5)=4),AprSun1+5,""))</f>
        <v/>
      </c>
      <c r="AI33" s="67" t="str">
        <f>IF(DAY(AprSun1)=1,"",IF(AND(YEAR(AprSun1+6)=CalendarYear,MONTH(AprSun1+6)=4),AprSun1+6,""))</f>
        <v/>
      </c>
      <c r="AJ33" s="67">
        <f>IF(DAY(AprSun1)=1,IF(AND(YEAR(AprSun1)=CalendarYear,MONTH(AprSun1)=4),AprSun1,""),IF(AND(YEAR(AprSun1+7)=CalendarYear,MONTH(AprSun1+7)=4),AprSun1+7,""))</f>
        <v>42826</v>
      </c>
    </row>
    <row r="34" spans="3:36" s="69" customFormat="1" ht="30" customHeight="1" x14ac:dyDescent="0.35">
      <c r="C34" s="67">
        <f>IF(DAY(JanSun1)=1,IF(AND(YEAR(JanSun1+1)=CalendarYear,MONTH(JanSun1+1)=1),JanSun1+1,""),IF(AND(YEAR(JanSun1+8)=CalendarYear,MONTH(JanSun1+8)=1),JanSun1+8,""))</f>
        <v>42743</v>
      </c>
      <c r="D34" s="67">
        <f>IF(DAY(JanSun1)=1,IF(AND(YEAR(JanSun1+2)=CalendarYear,MONTH(JanSun1+2)=1),JanSun1+2,""),IF(AND(YEAR(JanSun1+9)=CalendarYear,MONTH(JanSun1+9)=1),JanSun1+9,""))</f>
        <v>42744</v>
      </c>
      <c r="E34" s="67">
        <f>IF(DAY(JanSun1)=1,IF(AND(YEAR(JanSun1+3)=CalendarYear,MONTH(JanSun1+3)=1),JanSun1+3,""),IF(AND(YEAR(JanSun1+10)=CalendarYear,MONTH(JanSun1+10)=1),JanSun1+10,""))</f>
        <v>42745</v>
      </c>
      <c r="F34" s="67">
        <f>IF(DAY(JanSun1)=1,IF(AND(YEAR(JanSun1+4)=CalendarYear,MONTH(JanSun1+4)=1),JanSun1+4,""),IF(AND(YEAR(JanSun1+11)=CalendarYear,MONTH(JanSun1+11)=1),JanSun1+11,""))</f>
        <v>42746</v>
      </c>
      <c r="G34" s="67">
        <f>IF(DAY(JanSun1)=1,IF(AND(YEAR(JanSun1+5)=CalendarYear,MONTH(JanSun1+5)=1),JanSun1+5,""),IF(AND(YEAR(JanSun1+12)=CalendarYear,MONTH(JanSun1+12)=1),JanSun1+12,""))</f>
        <v>42747</v>
      </c>
      <c r="H34" s="67">
        <f>IF(DAY(JanSun1)=1,IF(AND(YEAR(JanSun1+6)=CalendarYear,MONTH(JanSun1+6)=1),JanSun1+6,""),IF(AND(YEAR(JanSun1+13)=CalendarYear,MONTH(JanSun1+13)=1),JanSun1+13,""))</f>
        <v>42748</v>
      </c>
      <c r="I34" s="67">
        <f>IF(DAY(JanSun1)=1,IF(AND(YEAR(JanSun1+7)=CalendarYear,MONTH(JanSun1+7)=1),JanSun1+7,""),IF(AND(YEAR(JanSun1+14)=CalendarYear,MONTH(JanSun1+14)=1),JanSun1+14,""))</f>
        <v>42749</v>
      </c>
      <c r="J34" s="68"/>
      <c r="K34" s="67"/>
      <c r="L34" s="67">
        <f>IF(DAY(FebSun1)=1,IF(AND(YEAR(FebSun1+1)=CalendarYear,MONTH(FebSun1+1)=2),FebSun1+1,""),IF(AND(YEAR(FebSun1+8)=CalendarYear,MONTH(FebSun1+8)=2),FebSun1+8,""))</f>
        <v>42771</v>
      </c>
      <c r="M34" s="67">
        <f>IF(DAY(FebSun1)=1,IF(AND(YEAR(FebSun1+2)=CalendarYear,MONTH(FebSun1+2)=2),FebSun1+2,""),IF(AND(YEAR(FebSun1+9)=CalendarYear,MONTH(FebSun1+9)=2),FebSun1+9,""))</f>
        <v>42772</v>
      </c>
      <c r="N34" s="67">
        <f>IF(DAY(FebSun1)=1,IF(AND(YEAR(FebSun1+3)=CalendarYear,MONTH(FebSun1+3)=2),FebSun1+3,""),IF(AND(YEAR(FebSun1+10)=CalendarYear,MONTH(FebSun1+10)=2),FebSun1+10,""))</f>
        <v>42773</v>
      </c>
      <c r="O34" s="67">
        <f>IF(DAY(FebSun1)=1,IF(AND(YEAR(FebSun1+4)=CalendarYear,MONTH(FebSun1+4)=2),FebSun1+4,""),IF(AND(YEAR(FebSun1+11)=CalendarYear,MONTH(FebSun1+11)=2),FebSun1+11,""))</f>
        <v>42774</v>
      </c>
      <c r="P34" s="67">
        <f>IF(DAY(FebSun1)=1,IF(AND(YEAR(FebSun1+5)=CalendarYear,MONTH(FebSun1+5)=2),FebSun1+5,""),IF(AND(YEAR(FebSun1+12)=CalendarYear,MONTH(FebSun1+12)=2),FebSun1+12,""))</f>
        <v>42775</v>
      </c>
      <c r="Q34" s="67">
        <f>IF(DAY(FebSun1)=1,IF(AND(YEAR(FebSun1+6)=CalendarYear,MONTH(FebSun1+6)=2),FebSun1+6,""),IF(AND(YEAR(FebSun1+13)=CalendarYear,MONTH(FebSun1+13)=2),FebSun1+13,""))</f>
        <v>42776</v>
      </c>
      <c r="R34" s="67">
        <f>IF(DAY(FebSun1)=1,IF(AND(YEAR(FebSun1+7)=CalendarYear,MONTH(FebSun1+7)=2),FebSun1+7,""),IF(AND(YEAR(FebSun1+14)=CalendarYear,MONTH(FebSun1+14)=2),FebSun1+14,""))</f>
        <v>42777</v>
      </c>
      <c r="S34" s="68"/>
      <c r="U34" s="67">
        <f>IF(DAY(MarSun1)=1,IF(AND(YEAR(MarSun1+1)=CalendarYear,MONTH(MarSun1+1)=3),MarSun1+1,""),IF(AND(YEAR(MarSun1+8)=CalendarYear,MONTH(MarSun1+8)=3),MarSun1+8,""))</f>
        <v>42799</v>
      </c>
      <c r="V34" s="67">
        <f>IF(DAY(MarSun1)=1,IF(AND(YEAR(MarSun1+2)=CalendarYear,MONTH(MarSun1+2)=3),MarSun1+2,""),IF(AND(YEAR(MarSun1+9)=CalendarYear,MONTH(MarSun1+9)=3),MarSun1+9,""))</f>
        <v>42800</v>
      </c>
      <c r="W34" s="67">
        <f>IF(DAY(MarSun1)=1,IF(AND(YEAR(MarSun1+3)=CalendarYear,MONTH(MarSun1+3)=3),MarSun1+3,""),IF(AND(YEAR(MarSun1+10)=CalendarYear,MONTH(MarSun1+10)=3),MarSun1+10,""))</f>
        <v>42801</v>
      </c>
      <c r="X34" s="67">
        <f>IF(DAY(MarSun1)=1,IF(AND(YEAR(MarSun1+4)=CalendarYear,MONTH(MarSun1+4)=3),MarSun1+4,""),IF(AND(YEAR(MarSun1+11)=CalendarYear,MONTH(MarSun1+11)=3),MarSun1+11,""))</f>
        <v>42802</v>
      </c>
      <c r="Y34" s="67">
        <f>IF(DAY(MarSun1)=1,IF(AND(YEAR(MarSun1+5)=CalendarYear,MONTH(MarSun1+5)=3),MarSun1+5,""),IF(AND(YEAR(MarSun1+12)=CalendarYear,MONTH(MarSun1+12)=3),MarSun1+12,""))</f>
        <v>42803</v>
      </c>
      <c r="Z34" s="67">
        <f>IF(DAY(MarSun1)=1,IF(AND(YEAR(MarSun1+6)=CalendarYear,MONTH(MarSun1+6)=3),MarSun1+6,""),IF(AND(YEAR(MarSun1+13)=CalendarYear,MONTH(MarSun1+13)=3),MarSun1+13,""))</f>
        <v>42804</v>
      </c>
      <c r="AA34" s="67">
        <f>IF(DAY(MarSun1)=1,IF(AND(YEAR(MarSun1+7)=CalendarYear,MONTH(MarSun1+7)=3),MarSun1+7,""),IF(AND(YEAR(MarSun1+14)=CalendarYear,MONTH(MarSun1+14)=3),MarSun1+14,""))</f>
        <v>42805</v>
      </c>
      <c r="AB34" s="68"/>
      <c r="AC34" s="67"/>
      <c r="AD34" s="67">
        <f>IF(DAY(AprSun1)=1,IF(AND(YEAR(AprSun1+1)=CalendarYear,MONTH(AprSun1+1)=4),AprSun1+1,""),IF(AND(YEAR(AprSun1+8)=CalendarYear,MONTH(AprSun1+8)=4),AprSun1+8,""))</f>
        <v>42827</v>
      </c>
      <c r="AE34" s="67">
        <f>IF(DAY(AprSun1)=1,IF(AND(YEAR(AprSun1+2)=CalendarYear,MONTH(AprSun1+2)=4),AprSun1+2,""),IF(AND(YEAR(AprSun1+9)=CalendarYear,MONTH(AprSun1+9)=4),AprSun1+9,""))</f>
        <v>42828</v>
      </c>
      <c r="AF34" s="67">
        <f>IF(DAY(AprSun1)=1,IF(AND(YEAR(AprSun1+3)=CalendarYear,MONTH(AprSun1+3)=4),AprSun1+3,""),IF(AND(YEAR(AprSun1+10)=CalendarYear,MONTH(AprSun1+10)=4),AprSun1+10,""))</f>
        <v>42829</v>
      </c>
      <c r="AG34" s="67">
        <f>IF(DAY(AprSun1)=1,IF(AND(YEAR(AprSun1+4)=CalendarYear,MONTH(AprSun1+4)=4),AprSun1+4,""),IF(AND(YEAR(AprSun1+11)=CalendarYear,MONTH(AprSun1+11)=4),AprSun1+11,""))</f>
        <v>42830</v>
      </c>
      <c r="AH34" s="67">
        <f>IF(DAY(AprSun1)=1,IF(AND(YEAR(AprSun1+5)=CalendarYear,MONTH(AprSun1+5)=4),AprSun1+5,""),IF(AND(YEAR(AprSun1+12)=CalendarYear,MONTH(AprSun1+12)=4),AprSun1+12,""))</f>
        <v>42831</v>
      </c>
      <c r="AI34" s="67">
        <f>IF(DAY(AprSun1)=1,IF(AND(YEAR(AprSun1+6)=CalendarYear,MONTH(AprSun1+6)=4),AprSun1+6,""),IF(AND(YEAR(AprSun1+13)=CalendarYear,MONTH(AprSun1+13)=4),AprSun1+13,""))</f>
        <v>42832</v>
      </c>
      <c r="AJ34" s="67">
        <f>IF(DAY(AprSun1)=1,IF(AND(YEAR(AprSun1+7)=CalendarYear,MONTH(AprSun1+7)=4),AprSun1+7,""),IF(AND(YEAR(AprSun1+14)=CalendarYear,MONTH(AprSun1+14)=4),AprSun1+14,""))</f>
        <v>42833</v>
      </c>
    </row>
    <row r="35" spans="3:36" s="69" customFormat="1" ht="30" customHeight="1" x14ac:dyDescent="0.35">
      <c r="C35" s="67">
        <f>IF(DAY(JanSun1)=1,IF(AND(YEAR(JanSun1+8)=CalendarYear,MONTH(JanSun1+8)=1),JanSun1+8,""),IF(AND(YEAR(JanSun1+15)=CalendarYear,MONTH(JanSun1+15)=1),JanSun1+15,""))</f>
        <v>42750</v>
      </c>
      <c r="D35" s="67">
        <f>IF(DAY(JanSun1)=1,IF(AND(YEAR(JanSun1+9)=CalendarYear,MONTH(JanSun1+9)=1),JanSun1+9,""),IF(AND(YEAR(JanSun1+16)=CalendarYear,MONTH(JanSun1+16)=1),JanSun1+16,""))</f>
        <v>42751</v>
      </c>
      <c r="E35" s="67">
        <f>IF(DAY(JanSun1)=1,IF(AND(YEAR(JanSun1+10)=CalendarYear,MONTH(JanSun1+10)=1),JanSun1+10,""),IF(AND(YEAR(JanSun1+17)=CalendarYear,MONTH(JanSun1+17)=1),JanSun1+17,""))</f>
        <v>42752</v>
      </c>
      <c r="F35" s="67">
        <f>IF(DAY(JanSun1)=1,IF(AND(YEAR(JanSun1+11)=CalendarYear,MONTH(JanSun1+11)=1),JanSun1+11,""),IF(AND(YEAR(JanSun1+18)=CalendarYear,MONTH(JanSun1+18)=1),JanSun1+18,""))</f>
        <v>42753</v>
      </c>
      <c r="G35" s="67">
        <f>IF(DAY(JanSun1)=1,IF(AND(YEAR(JanSun1+12)=CalendarYear,MONTH(JanSun1+12)=1),JanSun1+12,""),IF(AND(YEAR(JanSun1+19)=CalendarYear,MONTH(JanSun1+19)=1),JanSun1+19,""))</f>
        <v>42754</v>
      </c>
      <c r="H35" s="67">
        <f>IF(DAY(JanSun1)=1,IF(AND(YEAR(JanSun1+13)=CalendarYear,MONTH(JanSun1+13)=1),JanSun1+13,""),IF(AND(YEAR(JanSun1+20)=CalendarYear,MONTH(JanSun1+20)=1),JanSun1+20,""))</f>
        <v>42755</v>
      </c>
      <c r="I35" s="67">
        <f>IF(DAY(JanSun1)=1,IF(AND(YEAR(JanSun1+14)=CalendarYear,MONTH(JanSun1+14)=1),JanSun1+14,""),IF(AND(YEAR(JanSun1+21)=CalendarYear,MONTH(JanSun1+21)=1),JanSun1+21,""))</f>
        <v>42756</v>
      </c>
      <c r="J35" s="68"/>
      <c r="K35" s="67"/>
      <c r="L35" s="67">
        <f>IF(DAY(FebSun1)=1,IF(AND(YEAR(FebSun1+8)=CalendarYear,MONTH(FebSun1+8)=2),FebSun1+8,""),IF(AND(YEAR(FebSun1+15)=CalendarYear,MONTH(FebSun1+15)=2),FebSun1+15,""))</f>
        <v>42778</v>
      </c>
      <c r="M35" s="67">
        <f>IF(DAY(FebSun1)=1,IF(AND(YEAR(FebSun1+9)=CalendarYear,MONTH(FebSun1+9)=2),FebSun1+9,""),IF(AND(YEAR(FebSun1+16)=CalendarYear,MONTH(FebSun1+16)=2),FebSun1+16,""))</f>
        <v>42779</v>
      </c>
      <c r="N35" s="67">
        <f>IF(DAY(FebSun1)=1,IF(AND(YEAR(FebSun1+10)=CalendarYear,MONTH(FebSun1+10)=2),FebSun1+10,""),IF(AND(YEAR(FebSun1+17)=CalendarYear,MONTH(FebSun1+17)=2),FebSun1+17,""))</f>
        <v>42780</v>
      </c>
      <c r="O35" s="67">
        <f>IF(DAY(FebSun1)=1,IF(AND(YEAR(FebSun1+11)=CalendarYear,MONTH(FebSun1+11)=2),FebSun1+11,""),IF(AND(YEAR(FebSun1+18)=CalendarYear,MONTH(FebSun1+18)=2),FebSun1+18,""))</f>
        <v>42781</v>
      </c>
      <c r="P35" s="67">
        <f>IF(DAY(FebSun1)=1,IF(AND(YEAR(FebSun1+12)=CalendarYear,MONTH(FebSun1+12)=2),FebSun1+12,""),IF(AND(YEAR(FebSun1+19)=CalendarYear,MONTH(FebSun1+19)=2),FebSun1+19,""))</f>
        <v>42782</v>
      </c>
      <c r="Q35" s="67">
        <f>IF(DAY(FebSun1)=1,IF(AND(YEAR(FebSun1+13)=CalendarYear,MONTH(FebSun1+13)=2),FebSun1+13,""),IF(AND(YEAR(FebSun1+20)=CalendarYear,MONTH(FebSun1+20)=2),FebSun1+20,""))</f>
        <v>42783</v>
      </c>
      <c r="R35" s="67">
        <f>IF(DAY(FebSun1)=1,IF(AND(YEAR(FebSun1+14)=CalendarYear,MONTH(FebSun1+14)=2),FebSun1+14,""),IF(AND(YEAR(FebSun1+21)=CalendarYear,MONTH(FebSun1+21)=2),FebSun1+21,""))</f>
        <v>42784</v>
      </c>
      <c r="S35" s="68"/>
      <c r="U35" s="67">
        <f>IF(DAY(MarSun1)=1,IF(AND(YEAR(MarSun1+8)=CalendarYear,MONTH(MarSun1+8)=3),MarSun1+8,""),IF(AND(YEAR(MarSun1+15)=CalendarYear,MONTH(MarSun1+15)=3),MarSun1+15,""))</f>
        <v>42806</v>
      </c>
      <c r="V35" s="67">
        <f>IF(DAY(MarSun1)=1,IF(AND(YEAR(MarSun1+9)=CalendarYear,MONTH(MarSun1+9)=3),MarSun1+9,""),IF(AND(YEAR(MarSun1+16)=CalendarYear,MONTH(MarSun1+16)=3),MarSun1+16,""))</f>
        <v>42807</v>
      </c>
      <c r="W35" s="67">
        <f>IF(DAY(MarSun1)=1,IF(AND(YEAR(MarSun1+10)=CalendarYear,MONTH(MarSun1+10)=3),MarSun1+10,""),IF(AND(YEAR(MarSun1+17)=CalendarYear,MONTH(MarSun1+17)=3),MarSun1+17,""))</f>
        <v>42808</v>
      </c>
      <c r="X35" s="67">
        <f>IF(DAY(MarSun1)=1,IF(AND(YEAR(MarSun1+11)=CalendarYear,MONTH(MarSun1+11)=3),MarSun1+11,""),IF(AND(YEAR(MarSun1+18)=CalendarYear,MONTH(MarSun1+18)=3),MarSun1+18,""))</f>
        <v>42809</v>
      </c>
      <c r="Y35" s="67">
        <f>IF(DAY(MarSun1)=1,IF(AND(YEAR(MarSun1+12)=CalendarYear,MONTH(MarSun1+12)=3),MarSun1+12,""),IF(AND(YEAR(MarSun1+19)=CalendarYear,MONTH(MarSun1+19)=3),MarSun1+19,""))</f>
        <v>42810</v>
      </c>
      <c r="Z35" s="67">
        <f>IF(DAY(MarSun1)=1,IF(AND(YEAR(MarSun1+13)=CalendarYear,MONTH(MarSun1+13)=3),MarSun1+13,""),IF(AND(YEAR(MarSun1+20)=CalendarYear,MONTH(MarSun1+20)=3),MarSun1+20,""))</f>
        <v>42811</v>
      </c>
      <c r="AA35" s="67">
        <f>IF(DAY(MarSun1)=1,IF(AND(YEAR(MarSun1+14)=CalendarYear,MONTH(MarSun1+14)=3),MarSun1+14,""),IF(AND(YEAR(MarSun1+21)=CalendarYear,MONTH(MarSun1+21)=3),MarSun1+21,""))</f>
        <v>42812</v>
      </c>
      <c r="AB35" s="68"/>
      <c r="AC35" s="67"/>
      <c r="AD35" s="67">
        <f>IF(DAY(AprSun1)=1,IF(AND(YEAR(AprSun1+8)=CalendarYear,MONTH(AprSun1+8)=4),AprSun1+8,""),IF(AND(YEAR(AprSun1+15)=CalendarYear,MONTH(AprSun1+15)=4),AprSun1+15,""))</f>
        <v>42834</v>
      </c>
      <c r="AE35" s="67">
        <f>IF(DAY(AprSun1)=1,IF(AND(YEAR(AprSun1+9)=CalendarYear,MONTH(AprSun1+9)=4),AprSun1+9,""),IF(AND(YEAR(AprSun1+16)=CalendarYear,MONTH(AprSun1+16)=4),AprSun1+16,""))</f>
        <v>42835</v>
      </c>
      <c r="AF35" s="67">
        <f>IF(DAY(AprSun1)=1,IF(AND(YEAR(AprSun1+10)=CalendarYear,MONTH(AprSun1+10)=4),AprSun1+10,""),IF(AND(YEAR(AprSun1+17)=CalendarYear,MONTH(AprSun1+17)=4),AprSun1+17,""))</f>
        <v>42836</v>
      </c>
      <c r="AG35" s="67">
        <f>IF(DAY(AprSun1)=1,IF(AND(YEAR(AprSun1+11)=CalendarYear,MONTH(AprSun1+11)=4),AprSun1+11,""),IF(AND(YEAR(AprSun1+18)=CalendarYear,MONTH(AprSun1+18)=4),AprSun1+18,""))</f>
        <v>42837</v>
      </c>
      <c r="AH35" s="67">
        <f>IF(DAY(AprSun1)=1,IF(AND(YEAR(AprSun1+12)=CalendarYear,MONTH(AprSun1+12)=4),AprSun1+12,""),IF(AND(YEAR(AprSun1+19)=CalendarYear,MONTH(AprSun1+19)=4),AprSun1+19,""))</f>
        <v>42838</v>
      </c>
      <c r="AI35" s="67">
        <f>IF(DAY(AprSun1)=1,IF(AND(YEAR(AprSun1+13)=CalendarYear,MONTH(AprSun1+13)=4),AprSun1+13,""),IF(AND(YEAR(AprSun1+20)=CalendarYear,MONTH(AprSun1+20)=4),AprSun1+20,""))</f>
        <v>42839</v>
      </c>
      <c r="AJ35" s="67">
        <f>IF(DAY(AprSun1)=1,IF(AND(YEAR(AprSun1+14)=CalendarYear,MONTH(AprSun1+14)=4),AprSun1+14,""),IF(AND(YEAR(AprSun1+21)=CalendarYear,MONTH(AprSun1+21)=4),AprSun1+21,""))</f>
        <v>42840</v>
      </c>
    </row>
    <row r="36" spans="3:36" s="69" customFormat="1" ht="30" customHeight="1" x14ac:dyDescent="0.35">
      <c r="C36" s="67">
        <f>IF(DAY(JanSun1)=1,IF(AND(YEAR(JanSun1+15)=CalendarYear,MONTH(JanSun1+15)=1),JanSun1+15,""),IF(AND(YEAR(JanSun1+22)=CalendarYear,MONTH(JanSun1+22)=1),JanSun1+22,""))</f>
        <v>42757</v>
      </c>
      <c r="D36" s="67">
        <f>IF(DAY(JanSun1)=1,IF(AND(YEAR(JanSun1+16)=CalendarYear,MONTH(JanSun1+16)=1),JanSun1+16,""),IF(AND(YEAR(JanSun1+23)=CalendarYear,MONTH(JanSun1+23)=1),JanSun1+23,""))</f>
        <v>42758</v>
      </c>
      <c r="E36" s="67">
        <f>IF(DAY(JanSun1)=1,IF(AND(YEAR(JanSun1+17)=CalendarYear,MONTH(JanSun1+17)=1),JanSun1+17,""),IF(AND(YEAR(JanSun1+24)=CalendarYear,MONTH(JanSun1+24)=1),JanSun1+24,""))</f>
        <v>42759</v>
      </c>
      <c r="F36" s="67">
        <f>IF(DAY(JanSun1)=1,IF(AND(YEAR(JanSun1+18)=CalendarYear,MONTH(JanSun1+18)=1),JanSun1+18,""),IF(AND(YEAR(JanSun1+25)=CalendarYear,MONTH(JanSun1+25)=1),JanSun1+25,""))</f>
        <v>42760</v>
      </c>
      <c r="G36" s="67">
        <f>IF(DAY(JanSun1)=1,IF(AND(YEAR(JanSun1+19)=CalendarYear,MONTH(JanSun1+19)=1),JanSun1+19,""),IF(AND(YEAR(JanSun1+26)=CalendarYear,MONTH(JanSun1+26)=1),JanSun1+26,""))</f>
        <v>42761</v>
      </c>
      <c r="H36" s="67">
        <f>IF(DAY(JanSun1)=1,IF(AND(YEAR(JanSun1+20)=CalendarYear,MONTH(JanSun1+20)=1),JanSun1+20,""),IF(AND(YEAR(JanSun1+27)=CalendarYear,MONTH(JanSun1+27)=1),JanSun1+27,""))</f>
        <v>42762</v>
      </c>
      <c r="I36" s="67">
        <f>IF(DAY(JanSun1)=1,IF(AND(YEAR(JanSun1+21)=CalendarYear,MONTH(JanSun1+21)=1),JanSun1+21,""),IF(AND(YEAR(JanSun1+28)=CalendarYear,MONTH(JanSun1+28)=1),JanSun1+28,""))</f>
        <v>42763</v>
      </c>
      <c r="J36" s="68"/>
      <c r="K36" s="67"/>
      <c r="L36" s="67">
        <f>IF(DAY(FebSun1)=1,IF(AND(YEAR(FebSun1+15)=CalendarYear,MONTH(FebSun1+15)=2),FebSun1+15,""),IF(AND(YEAR(FebSun1+22)=CalendarYear,MONTH(FebSun1+22)=2),FebSun1+22,""))</f>
        <v>42785</v>
      </c>
      <c r="M36" s="67">
        <f>IF(DAY(FebSun1)=1,IF(AND(YEAR(FebSun1+16)=CalendarYear,MONTH(FebSun1+16)=2),FebSun1+16,""),IF(AND(YEAR(FebSun1+23)=CalendarYear,MONTH(FebSun1+23)=2),FebSun1+23,""))</f>
        <v>42786</v>
      </c>
      <c r="N36" s="67">
        <f>IF(DAY(FebSun1)=1,IF(AND(YEAR(FebSun1+17)=CalendarYear,MONTH(FebSun1+17)=2),FebSun1+17,""),IF(AND(YEAR(FebSun1+24)=CalendarYear,MONTH(FebSun1+24)=2),FebSun1+24,""))</f>
        <v>42787</v>
      </c>
      <c r="O36" s="67">
        <f>IF(DAY(FebSun1)=1,IF(AND(YEAR(FebSun1+18)=CalendarYear,MONTH(FebSun1+18)=2),FebSun1+18,""),IF(AND(YEAR(FebSun1+25)=CalendarYear,MONTH(FebSun1+25)=2),FebSun1+25,""))</f>
        <v>42788</v>
      </c>
      <c r="P36" s="67">
        <f>IF(DAY(FebSun1)=1,IF(AND(YEAR(FebSun1+19)=CalendarYear,MONTH(FebSun1+19)=2),FebSun1+19,""),IF(AND(YEAR(FebSun1+26)=CalendarYear,MONTH(FebSun1+26)=2),FebSun1+26,""))</f>
        <v>42789</v>
      </c>
      <c r="Q36" s="67">
        <f>IF(DAY(FebSun1)=1,IF(AND(YEAR(FebSun1+20)=CalendarYear,MONTH(FebSun1+20)=2),FebSun1+20,""),IF(AND(YEAR(FebSun1+27)=CalendarYear,MONTH(FebSun1+27)=2),FebSun1+27,""))</f>
        <v>42790</v>
      </c>
      <c r="R36" s="67">
        <f>IF(DAY(FebSun1)=1,IF(AND(YEAR(FebSun1+21)=CalendarYear,MONTH(FebSun1+21)=2),FebSun1+21,""),IF(AND(YEAR(FebSun1+28)=CalendarYear,MONTH(FebSun1+28)=2),FebSun1+28,""))</f>
        <v>42791</v>
      </c>
      <c r="S36" s="68"/>
      <c r="U36" s="67">
        <f>IF(DAY(MarSun1)=1,IF(AND(YEAR(MarSun1+15)=CalendarYear,MONTH(MarSun1+15)=3),MarSun1+15,""),IF(AND(YEAR(MarSun1+22)=CalendarYear,MONTH(MarSun1+22)=3),MarSun1+22,""))</f>
        <v>42813</v>
      </c>
      <c r="V36" s="67">
        <f>IF(DAY(MarSun1)=1,IF(AND(YEAR(MarSun1+16)=CalendarYear,MONTH(MarSun1+16)=3),MarSun1+16,""),IF(AND(YEAR(MarSun1+23)=CalendarYear,MONTH(MarSun1+23)=3),MarSun1+23,""))</f>
        <v>42814</v>
      </c>
      <c r="W36" s="67">
        <f>IF(DAY(MarSun1)=1,IF(AND(YEAR(MarSun1+17)=CalendarYear,MONTH(MarSun1+17)=3),MarSun1+17,""),IF(AND(YEAR(MarSun1+24)=CalendarYear,MONTH(MarSun1+24)=3),MarSun1+24,""))</f>
        <v>42815</v>
      </c>
      <c r="X36" s="67">
        <f>IF(DAY(MarSun1)=1,IF(AND(YEAR(MarSun1+18)=CalendarYear,MONTH(MarSun1+18)=3),MarSun1+18,""),IF(AND(YEAR(MarSun1+25)=CalendarYear,MONTH(MarSun1+25)=3),MarSun1+25,""))</f>
        <v>42816</v>
      </c>
      <c r="Y36" s="67">
        <f>IF(DAY(MarSun1)=1,IF(AND(YEAR(MarSun1+19)=CalendarYear,MONTH(MarSun1+19)=3),MarSun1+19,""),IF(AND(YEAR(MarSun1+26)=CalendarYear,MONTH(MarSun1+26)=3),MarSun1+26,""))</f>
        <v>42817</v>
      </c>
      <c r="Z36" s="67">
        <f>IF(DAY(MarSun1)=1,IF(AND(YEAR(MarSun1+20)=CalendarYear,MONTH(MarSun1+20)=3),MarSun1+20,""),IF(AND(YEAR(MarSun1+27)=CalendarYear,MONTH(MarSun1+27)=3),MarSun1+27,""))</f>
        <v>42818</v>
      </c>
      <c r="AA36" s="67">
        <f>IF(DAY(MarSun1)=1,IF(AND(YEAR(MarSun1+21)=CalendarYear,MONTH(MarSun1+21)=3),MarSun1+21,""),IF(AND(YEAR(MarSun1+28)=CalendarYear,MONTH(MarSun1+28)=3),MarSun1+28,""))</f>
        <v>42819</v>
      </c>
      <c r="AB36" s="68"/>
      <c r="AC36" s="67"/>
      <c r="AD36" s="67">
        <f>IF(DAY(AprSun1)=1,IF(AND(YEAR(AprSun1+15)=CalendarYear,MONTH(AprSun1+15)=4),AprSun1+15,""),IF(AND(YEAR(AprSun1+22)=CalendarYear,MONTH(AprSun1+22)=4),AprSun1+22,""))</f>
        <v>42841</v>
      </c>
      <c r="AE36" s="67">
        <f>IF(DAY(AprSun1)=1,IF(AND(YEAR(AprSun1+16)=CalendarYear,MONTH(AprSun1+16)=4),AprSun1+16,""),IF(AND(YEAR(AprSun1+23)=CalendarYear,MONTH(AprSun1+23)=4),AprSun1+23,""))</f>
        <v>42842</v>
      </c>
      <c r="AF36" s="67">
        <f>IF(DAY(AprSun1)=1,IF(AND(YEAR(AprSun1+17)=CalendarYear,MONTH(AprSun1+17)=4),AprSun1+17,""),IF(AND(YEAR(AprSun1+24)=CalendarYear,MONTH(AprSun1+24)=4),AprSun1+24,""))</f>
        <v>42843</v>
      </c>
      <c r="AG36" s="67">
        <f>IF(DAY(AprSun1)=1,IF(AND(YEAR(AprSun1+18)=CalendarYear,MONTH(AprSun1+18)=4),AprSun1+18,""),IF(AND(YEAR(AprSun1+25)=CalendarYear,MONTH(AprSun1+25)=4),AprSun1+25,""))</f>
        <v>42844</v>
      </c>
      <c r="AH36" s="67">
        <f>IF(DAY(AprSun1)=1,IF(AND(YEAR(AprSun1+19)=CalendarYear,MONTH(AprSun1+19)=4),AprSun1+19,""),IF(AND(YEAR(AprSun1+26)=CalendarYear,MONTH(AprSun1+26)=4),AprSun1+26,""))</f>
        <v>42845</v>
      </c>
      <c r="AI36" s="67">
        <f>IF(DAY(AprSun1)=1,IF(AND(YEAR(AprSun1+20)=CalendarYear,MONTH(AprSun1+20)=4),AprSun1+20,""),IF(AND(YEAR(AprSun1+27)=CalendarYear,MONTH(AprSun1+27)=4),AprSun1+27,""))</f>
        <v>42846</v>
      </c>
      <c r="AJ36" s="67">
        <f>IF(DAY(AprSun1)=1,IF(AND(YEAR(AprSun1+21)=CalendarYear,MONTH(AprSun1+21)=4),AprSun1+21,""),IF(AND(YEAR(AprSun1+28)=CalendarYear,MONTH(AprSun1+28)=4),AprSun1+28,""))</f>
        <v>42847</v>
      </c>
    </row>
    <row r="37" spans="3:36" s="69" customFormat="1" ht="30" customHeight="1" x14ac:dyDescent="0.35">
      <c r="C37" s="67">
        <f>IF(DAY(JanSun1)=1,IF(AND(YEAR(JanSun1+22)=CalendarYear,MONTH(JanSun1+22)=1),JanSun1+22,""),IF(AND(YEAR(JanSun1+29)=CalendarYear,MONTH(JanSun1+29)=1),JanSun1+29,""))</f>
        <v>42764</v>
      </c>
      <c r="D37" s="67">
        <f>IF(DAY(JanSun1)=1,IF(AND(YEAR(JanSun1+23)=CalendarYear,MONTH(JanSun1+23)=1),JanSun1+23,""),IF(AND(YEAR(JanSun1+30)=CalendarYear,MONTH(JanSun1+30)=1),JanSun1+30,""))</f>
        <v>42765</v>
      </c>
      <c r="E37" s="67">
        <f>IF(DAY(JanSun1)=1,IF(AND(YEAR(JanSun1+24)=CalendarYear,MONTH(JanSun1+24)=1),JanSun1+24,""),IF(AND(YEAR(JanSun1+31)=CalendarYear,MONTH(JanSun1+31)=1),JanSun1+31,""))</f>
        <v>42766</v>
      </c>
      <c r="F37" s="67" t="str">
        <f>IF(DAY(JanSun1)=1,IF(AND(YEAR(JanSun1+25)=CalendarYear,MONTH(JanSun1+25)=1),JanSun1+25,""),IF(AND(YEAR(JanSun1+32)=CalendarYear,MONTH(JanSun1+32)=1),JanSun1+32,""))</f>
        <v/>
      </c>
      <c r="G37" s="67" t="str">
        <f>IF(DAY(JanSun1)=1,IF(AND(YEAR(JanSun1+26)=CalendarYear,MONTH(JanSun1+26)=1),JanSun1+26,""),IF(AND(YEAR(JanSun1+33)=CalendarYear,MONTH(JanSun1+33)=1),JanSun1+33,""))</f>
        <v/>
      </c>
      <c r="H37" s="67" t="str">
        <f>IF(DAY(JanSun1)=1,IF(AND(YEAR(JanSun1+27)=CalendarYear,MONTH(JanSun1+27)=1),JanSun1+27,""),IF(AND(YEAR(JanSun1+34)=CalendarYear,MONTH(JanSun1+34)=1),JanSun1+34,""))</f>
        <v/>
      </c>
      <c r="I37" s="67" t="str">
        <f>IF(DAY(JanSun1)=1,IF(AND(YEAR(JanSun1+28)=CalendarYear,MONTH(JanSun1+28)=1),JanSun1+28,""),IF(AND(YEAR(JanSun1+35)=CalendarYear,MONTH(JanSun1+35)=1),JanSun1+35,""))</f>
        <v/>
      </c>
      <c r="J37" s="68"/>
      <c r="K37" s="67"/>
      <c r="L37" s="67">
        <f>IF(DAY(FebSun1)=1,IF(AND(YEAR(FebSun1+22)=CalendarYear,MONTH(FebSun1+22)=2),FebSun1+22,""),IF(AND(YEAR(FebSun1+29)=CalendarYear,MONTH(FebSun1+29)=2),FebSun1+29,""))</f>
        <v>42792</v>
      </c>
      <c r="M37" s="67">
        <f>IF(DAY(FebSun1)=1,IF(AND(YEAR(FebSun1+23)=CalendarYear,MONTH(FebSun1+23)=2),FebSun1+23,""),IF(AND(YEAR(FebSun1+30)=CalendarYear,MONTH(FebSun1+30)=2),FebSun1+30,""))</f>
        <v>42793</v>
      </c>
      <c r="N37" s="67">
        <f>IF(DAY(FebSun1)=1,IF(AND(YEAR(FebSun1+24)=CalendarYear,MONTH(FebSun1+24)=2),FebSun1+24,""),IF(AND(YEAR(FebSun1+31)=CalendarYear,MONTH(FebSun1+31)=2),FebSun1+31,""))</f>
        <v>42794</v>
      </c>
      <c r="O37" s="67" t="str">
        <f>IF(DAY(FebSun1)=1,IF(AND(YEAR(FebSun1+25)=CalendarYear,MONTH(FebSun1+25)=2),FebSun1+25,""),IF(AND(YEAR(FebSun1+32)=CalendarYear,MONTH(FebSun1+32)=2),FebSun1+32,""))</f>
        <v/>
      </c>
      <c r="P37" s="67" t="str">
        <f>IF(DAY(FebSun1)=1,IF(AND(YEAR(FebSun1+26)=CalendarYear,MONTH(FebSun1+26)=2),FebSun1+26,""),IF(AND(YEAR(FebSun1+33)=CalendarYear,MONTH(FebSun1+33)=2),FebSun1+33,""))</f>
        <v/>
      </c>
      <c r="Q37" s="67" t="str">
        <f>IF(DAY(FebSun1)=1,IF(AND(YEAR(FebSun1+27)=CalendarYear,MONTH(FebSun1+27)=2),FebSun1+27,""),IF(AND(YEAR(FebSun1+34)=CalendarYear,MONTH(FebSun1+34)=2),FebSun1+34,""))</f>
        <v/>
      </c>
      <c r="R37" s="67" t="str">
        <f>IF(DAY(FebSun1)=1,IF(AND(YEAR(FebSun1+28)=CalendarYear,MONTH(FebSun1+28)=2),FebSun1+28,""),IF(AND(YEAR(FebSun1+35)=CalendarYear,MONTH(FebSun1+35)=2),FebSun1+35,""))</f>
        <v/>
      </c>
      <c r="S37" s="68"/>
      <c r="U37" s="67">
        <f>IF(DAY(MarSun1)=1,IF(AND(YEAR(MarSun1+22)=CalendarYear,MONTH(MarSun1+22)=3),MarSun1+22,""),IF(AND(YEAR(MarSun1+29)=CalendarYear,MONTH(MarSun1+29)=3),MarSun1+29,""))</f>
        <v>42820</v>
      </c>
      <c r="V37" s="67">
        <f>IF(DAY(MarSun1)=1,IF(AND(YEAR(MarSun1+23)=CalendarYear,MONTH(MarSun1+23)=3),MarSun1+23,""),IF(AND(YEAR(MarSun1+30)=CalendarYear,MONTH(MarSun1+30)=3),MarSun1+30,""))</f>
        <v>42821</v>
      </c>
      <c r="W37" s="67">
        <f>IF(DAY(MarSun1)=1,IF(AND(YEAR(MarSun1+24)=CalendarYear,MONTH(MarSun1+24)=3),MarSun1+24,""),IF(AND(YEAR(MarSun1+31)=CalendarYear,MONTH(MarSun1+31)=3),MarSun1+31,""))</f>
        <v>42822</v>
      </c>
      <c r="X37" s="67">
        <f>IF(DAY(MarSun1)=1,IF(AND(YEAR(MarSun1+25)=CalendarYear,MONTH(MarSun1+25)=3),MarSun1+25,""),IF(AND(YEAR(MarSun1+32)=CalendarYear,MONTH(MarSun1+32)=3),MarSun1+32,""))</f>
        <v>42823</v>
      </c>
      <c r="Y37" s="67">
        <f>IF(DAY(MarSun1)=1,IF(AND(YEAR(MarSun1+26)=CalendarYear,MONTH(MarSun1+26)=3),MarSun1+26,""),IF(AND(YEAR(MarSun1+33)=CalendarYear,MONTH(MarSun1+33)=3),MarSun1+33,""))</f>
        <v>42824</v>
      </c>
      <c r="Z37" s="67">
        <f>IF(DAY(MarSun1)=1,IF(AND(YEAR(MarSun1+27)=CalendarYear,MONTH(MarSun1+27)=3),MarSun1+27,""),IF(AND(YEAR(MarSun1+34)=CalendarYear,MONTH(MarSun1+34)=3),MarSun1+34,""))</f>
        <v>42825</v>
      </c>
      <c r="AA37" s="67" t="str">
        <f>IF(DAY(MarSun1)=1,IF(AND(YEAR(MarSun1+28)=CalendarYear,MONTH(MarSun1+28)=3),MarSun1+28,""),IF(AND(YEAR(MarSun1+35)=CalendarYear,MONTH(MarSun1+35)=3),MarSun1+35,""))</f>
        <v/>
      </c>
      <c r="AB37" s="68"/>
      <c r="AC37" s="67"/>
      <c r="AD37" s="67">
        <f>IF(DAY(AprSun1)=1,IF(AND(YEAR(AprSun1+22)=CalendarYear,MONTH(AprSun1+22)=4),AprSun1+22,""),IF(AND(YEAR(AprSun1+29)=CalendarYear,MONTH(AprSun1+29)=4),AprSun1+29,""))</f>
        <v>42848</v>
      </c>
      <c r="AE37" s="67">
        <f>IF(DAY(AprSun1)=1,IF(AND(YEAR(AprSun1+23)=CalendarYear,MONTH(AprSun1+23)=4),AprSun1+23,""),IF(AND(YEAR(AprSun1+30)=CalendarYear,MONTH(AprSun1+30)=4),AprSun1+30,""))</f>
        <v>42849</v>
      </c>
      <c r="AF37" s="67">
        <f>IF(DAY(AprSun1)=1,IF(AND(YEAR(AprSun1+24)=CalendarYear,MONTH(AprSun1+24)=4),AprSun1+24,""),IF(AND(YEAR(AprSun1+31)=CalendarYear,MONTH(AprSun1+31)=4),AprSun1+31,""))</f>
        <v>42850</v>
      </c>
      <c r="AG37" s="67">
        <f>IF(DAY(AprSun1)=1,IF(AND(YEAR(AprSun1+25)=CalendarYear,MONTH(AprSun1+25)=4),AprSun1+25,""),IF(AND(YEAR(AprSun1+32)=CalendarYear,MONTH(AprSun1+32)=4),AprSun1+32,""))</f>
        <v>42851</v>
      </c>
      <c r="AH37" s="67">
        <f>IF(DAY(AprSun1)=1,IF(AND(YEAR(AprSun1+26)=CalendarYear,MONTH(AprSun1+26)=4),AprSun1+26,""),IF(AND(YEAR(AprSun1+33)=CalendarYear,MONTH(AprSun1+33)=4),AprSun1+33,""))</f>
        <v>42852</v>
      </c>
      <c r="AI37" s="67">
        <f>IF(DAY(AprSun1)=1,IF(AND(YEAR(AprSun1+27)=CalendarYear,MONTH(AprSun1+27)=4),AprSun1+27,""),IF(AND(YEAR(AprSun1+34)=CalendarYear,MONTH(AprSun1+34)=4),AprSun1+34,""))</f>
        <v>42853</v>
      </c>
      <c r="AJ37" s="67">
        <f>IF(DAY(AprSun1)=1,IF(AND(YEAR(AprSun1+28)=CalendarYear,MONTH(AprSun1+28)=4),AprSun1+28,""),IF(AND(YEAR(AprSun1+35)=CalendarYear,MONTH(AprSun1+35)=4),AprSun1+35,""))</f>
        <v>42854</v>
      </c>
    </row>
    <row r="38" spans="3:36" ht="30" customHeight="1" x14ac:dyDescent="0.2">
      <c r="C38" s="1" t="str">
        <f>IF(DAY(JanSun1)=1,IF(AND(YEAR(JanSun1+29)=CalendarYear,MONTH(JanSun1+29)=1),JanSun1+29,""),IF(AND(YEAR(JanSun1+36)=CalendarYear,MONTH(JanSun1+36)=1),JanSun1+36,""))</f>
        <v/>
      </c>
      <c r="D38" s="1" t="str">
        <f>IF(DAY(JanSun1)=1,IF(AND(YEAR(JanSun1+30)=CalendarYear,MONTH(JanSun1+30)=1),JanSun1+30,""),IF(AND(YEAR(JanSun1+37)=CalendarYear,MONTH(JanSun1+37)=1),JanSun1+37,""))</f>
        <v/>
      </c>
      <c r="E38" s="1" t="str">
        <f>IF(DAY(JanSun1)=1,IF(AND(YEAR(JanSun1+31)=CalendarYear,MONTH(JanSun1+31)=1),JanSun1+31,""),IF(AND(YEAR(JanSun1+38)=CalendarYear,MONTH(JanSun1+38)=1),JanSun1+38,""))</f>
        <v/>
      </c>
      <c r="F38" s="1" t="str">
        <f>IF(DAY(JanSun1)=1,IF(AND(YEAR(JanSun1+32)=CalendarYear,MONTH(JanSun1+32)=1),JanSun1+32,""),IF(AND(YEAR(JanSun1+39)=CalendarYear,MONTH(JanSun1+39)=1),JanSun1+39,""))</f>
        <v/>
      </c>
      <c r="G38" s="1" t="str">
        <f>IF(DAY(JanSun1)=1,IF(AND(YEAR(JanSun1+33)=CalendarYear,MONTH(JanSun1+33)=1),JanSun1+33,""),IF(AND(YEAR(JanSun1+40)=CalendarYear,MONTH(JanSun1+40)=1),JanSun1+40,""))</f>
        <v/>
      </c>
      <c r="H38" s="1" t="str">
        <f>IF(DAY(JanSun1)=1,IF(AND(YEAR(JanSun1+34)=CalendarYear,MONTH(JanSun1+34)=1),JanSun1+34,""),IF(AND(YEAR(JanSun1+41)=CalendarYear,MONTH(JanSun1+41)=1),JanSun1+41,""))</f>
        <v/>
      </c>
      <c r="I38" s="1" t="str">
        <f>IF(DAY(JanSun1)=1,IF(AND(YEAR(JanSun1+35)=CalendarYear,MONTH(JanSun1+35)=1),JanSun1+35,""),IF(AND(YEAR(JanSun1+42)=CalendarYear,MONTH(JanSun1+42)=1),JanSun1+42,""))</f>
        <v/>
      </c>
      <c r="J38" s="8"/>
      <c r="K38" s="1"/>
      <c r="L38" s="1" t="str">
        <f>IF(DAY(FebSun1)=1,IF(AND(YEAR(FebSun1+29)=CalendarYear,MONTH(FebSun1+29)=2),FebSun1+29,""),IF(AND(YEAR(FebSun1+36)=CalendarYear,MONTH(FebSun1+36)=2),FebSun1+36,""))</f>
        <v/>
      </c>
      <c r="M38" s="1" t="str">
        <f>IF(DAY(FebSun1)=1,IF(AND(YEAR(FebSun1+30)=CalendarYear,MONTH(FebSun1+30)=2),FebSun1+30,""),IF(AND(YEAR(FebSun1+37)=CalendarYear,MONTH(FebSun1+37)=2),FebSun1+37,""))</f>
        <v/>
      </c>
      <c r="N38" s="1" t="str">
        <f>IF(DAY(FebSun1)=1,IF(AND(YEAR(FebSun1+31)=CalendarYear,MONTH(FebSun1+31)=2),FebSun1+31,""),IF(AND(YEAR(FebSun1+38)=CalendarYear,MONTH(FebSun1+38)=2),FebSun1+38,""))</f>
        <v/>
      </c>
      <c r="O38" s="1" t="str">
        <f>IF(DAY(FebSun1)=1,IF(AND(YEAR(FebSun1+32)=CalendarYear,MONTH(FebSun1+32)=2),FebSun1+32,""),IF(AND(YEAR(FebSun1+39)=CalendarYear,MONTH(FebSun1+39)=2),FebSun1+39,""))</f>
        <v/>
      </c>
      <c r="P38" s="1" t="str">
        <f>IF(DAY(FebSun1)=1,IF(AND(YEAR(FebSun1+33)=CalendarYear,MONTH(FebSun1+33)=2),FebSun1+33,""),IF(AND(YEAR(FebSun1+40)=CalendarYear,MONTH(FebSun1+40)=2),FebSun1+40,""))</f>
        <v/>
      </c>
      <c r="Q38" s="1" t="str">
        <f>IF(DAY(FebSun1)=1,IF(AND(YEAR(FebSun1+34)=CalendarYear,MONTH(FebSun1+34)=2),FebSun1+34,""),IF(AND(YEAR(FebSun1+41)=CalendarYear,MONTH(FebSun1+41)=2),FebSun1+41,""))</f>
        <v/>
      </c>
      <c r="R38" s="1" t="str">
        <f>IF(DAY(FebSun1)=1,IF(AND(YEAR(FebSun1+35)=CalendarYear,MONTH(FebSun1+35)=2),FebSun1+35,""),IF(AND(YEAR(FebSun1+42)=CalendarYear,MONTH(FebSun1+42)=2),FebSun1+42,""))</f>
        <v/>
      </c>
      <c r="S38" s="8"/>
      <c r="U38" s="1" t="str">
        <f>IF(DAY(MarSun1)=1,IF(AND(YEAR(MarSun1+29)=CalendarYear,MONTH(MarSun1+29)=3),MarSun1+29,""),IF(AND(YEAR(MarSun1+36)=CalendarYear,MONTH(MarSun1+36)=3),MarSun1+36,""))</f>
        <v/>
      </c>
      <c r="V38" s="1" t="str">
        <f>IF(DAY(MarSun1)=1,IF(AND(YEAR(MarSun1+30)=CalendarYear,MONTH(MarSun1+30)=3),MarSun1+30,""),IF(AND(YEAR(MarSun1+37)=CalendarYear,MONTH(MarSun1+37)=3),MarSun1+37,""))</f>
        <v/>
      </c>
      <c r="W38" s="1" t="str">
        <f>IF(DAY(MarSun1)=1,IF(AND(YEAR(MarSun1+31)=CalendarYear,MONTH(MarSun1+31)=3),MarSun1+31,""),IF(AND(YEAR(MarSun1+38)=CalendarYear,MONTH(MarSun1+38)=3),MarSun1+38,""))</f>
        <v/>
      </c>
      <c r="X38" s="1" t="str">
        <f>IF(DAY(MarSun1)=1,IF(AND(YEAR(MarSun1+32)=CalendarYear,MONTH(MarSun1+32)=3),MarSun1+32,""),IF(AND(YEAR(MarSun1+39)=CalendarYear,MONTH(MarSun1+39)=3),MarSun1+39,""))</f>
        <v/>
      </c>
      <c r="Y38" s="1" t="str">
        <f>IF(DAY(MarSun1)=1,IF(AND(YEAR(MarSun1+33)=CalendarYear,MONTH(MarSun1+33)=3),MarSun1+33,""),IF(AND(YEAR(MarSun1+40)=CalendarYear,MONTH(MarSun1+40)=3),MarSun1+40,""))</f>
        <v/>
      </c>
      <c r="Z38" s="1" t="str">
        <f>IF(DAY(MarSun1)=1,IF(AND(YEAR(MarSun1+34)=CalendarYear,MONTH(MarSun1+34)=3),MarSun1+34,""),IF(AND(YEAR(MarSun1+41)=CalendarYear,MONTH(MarSun1+41)=3),MarSun1+41,""))</f>
        <v/>
      </c>
      <c r="AA38" s="1" t="str">
        <f>IF(DAY(MarSun1)=1,IF(AND(YEAR(MarSun1+35)=CalendarYear,MONTH(MarSun1+35)=3),MarSun1+35,""),IF(AND(YEAR(MarSun1+42)=CalendarYear,MONTH(MarSun1+42)=3),MarSun1+42,""))</f>
        <v/>
      </c>
      <c r="AB38" s="8"/>
      <c r="AC38" s="1"/>
      <c r="AD38" s="1">
        <f>IF(DAY(AprSun1)=1,IF(AND(YEAR(AprSun1+29)=CalendarYear,MONTH(AprSun1+29)=4),AprSun1+29,""),IF(AND(YEAR(AprSun1+36)=CalendarYear,MONTH(AprSun1+36)=4),AprSun1+36,""))</f>
        <v>42855</v>
      </c>
      <c r="AE38" s="1" t="str">
        <f>IF(DAY(AprSun1)=1,IF(AND(YEAR(AprSun1+30)=CalendarYear,MONTH(AprSun1+30)=4),AprSun1+30,""),IF(AND(YEAR(AprSun1+37)=CalendarYear,MONTH(AprSun1+37)=4),AprSun1+37,""))</f>
        <v/>
      </c>
      <c r="AF38" s="1" t="str">
        <f>IF(DAY(AprSun1)=1,IF(AND(YEAR(AprSun1+31)=CalendarYear,MONTH(AprSun1+31)=4),AprSun1+31,""),IF(AND(YEAR(AprSun1+38)=CalendarYear,MONTH(AprSun1+38)=4),AprSun1+38,""))</f>
        <v/>
      </c>
      <c r="AG38" s="1" t="str">
        <f>IF(DAY(AprSun1)=1,IF(AND(YEAR(AprSun1+32)=CalendarYear,MONTH(AprSun1+32)=4),AprSun1+32,""),IF(AND(YEAR(AprSun1+39)=CalendarYear,MONTH(AprSun1+39)=4),AprSun1+39,""))</f>
        <v/>
      </c>
      <c r="AH38" s="1" t="str">
        <f>IF(DAY(AprSun1)=1,IF(AND(YEAR(AprSun1+33)=CalendarYear,MONTH(AprSun1+33)=4),AprSun1+33,""),IF(AND(YEAR(AprSun1+40)=CalendarYear,MONTH(AprSun1+40)=4),AprSun1+40,""))</f>
        <v/>
      </c>
      <c r="AI38" s="1" t="str">
        <f>IF(DAY(AprSun1)=1,IF(AND(YEAR(AprSun1+34)=CalendarYear,MONTH(AprSun1+34)=4),AprSun1+34,""),IF(AND(YEAR(AprSun1+41)=CalendarYear,MONTH(AprSun1+41)=4),AprSun1+41,""))</f>
        <v/>
      </c>
      <c r="AJ38" s="1" t="str">
        <f>IF(DAY(AprSun1)=1,IF(AND(YEAR(AprSun1+35)=CalendarYear,MONTH(AprSun1+35)=4),AprSun1+35,""),IF(AND(YEAR(AprSun1+42)=CalendarYear,MONTH(AprSun1+42)=4),AprSun1+42,""))</f>
        <v/>
      </c>
    </row>
    <row r="39" spans="3:36" ht="30" customHeight="1" x14ac:dyDescent="0.2">
      <c r="C39" s="1"/>
      <c r="D39" s="1"/>
      <c r="E39" s="1"/>
      <c r="F39" s="1"/>
      <c r="G39" s="1"/>
      <c r="H39" s="1"/>
      <c r="I39" s="1"/>
      <c r="J39" s="8"/>
      <c r="K39" s="1"/>
      <c r="L39" s="1"/>
      <c r="M39" s="1"/>
      <c r="N39" s="1"/>
      <c r="O39" s="1"/>
      <c r="P39" s="1"/>
      <c r="Q39" s="1"/>
      <c r="R39" s="1"/>
      <c r="S39" s="8"/>
      <c r="AB39" s="10"/>
    </row>
    <row r="40" spans="3:36" s="64" customFormat="1" ht="30" customHeight="1" x14ac:dyDescent="0.5">
      <c r="C40" s="82">
        <f>DATE(CalendarYear,5,1)</f>
        <v>42856</v>
      </c>
      <c r="D40" s="82"/>
      <c r="E40" s="82"/>
      <c r="F40" s="82"/>
      <c r="G40" s="82"/>
      <c r="H40" s="82"/>
      <c r="I40" s="82"/>
      <c r="J40" s="62"/>
      <c r="K40" s="66"/>
      <c r="L40" s="82">
        <f>DATE(CalendarYear,6,1)</f>
        <v>42887</v>
      </c>
      <c r="M40" s="82"/>
      <c r="N40" s="82"/>
      <c r="O40" s="82"/>
      <c r="P40" s="82"/>
      <c r="Q40" s="82"/>
      <c r="R40" s="82"/>
      <c r="S40" s="62"/>
      <c r="U40" s="82">
        <f>DATE(CalendarYear,7,1)</f>
        <v>42917</v>
      </c>
      <c r="V40" s="82"/>
      <c r="W40" s="82"/>
      <c r="X40" s="82"/>
      <c r="Y40" s="82"/>
      <c r="Z40" s="82"/>
      <c r="AA40" s="82"/>
      <c r="AB40" s="62"/>
      <c r="AC40" s="66"/>
      <c r="AD40" s="82">
        <f>DATE(CalendarYear,8,1)</f>
        <v>42948</v>
      </c>
      <c r="AE40" s="82"/>
      <c r="AF40" s="82"/>
      <c r="AG40" s="82"/>
      <c r="AH40" s="82"/>
      <c r="AI40" s="82"/>
      <c r="AJ40" s="82"/>
    </row>
    <row r="41" spans="3:36" s="56" customFormat="1" ht="30" customHeight="1" x14ac:dyDescent="0.4">
      <c r="C41" s="58" t="s">
        <v>3</v>
      </c>
      <c r="D41" s="58" t="s">
        <v>4</v>
      </c>
      <c r="E41" s="58" t="s">
        <v>5</v>
      </c>
      <c r="F41" s="58" t="s">
        <v>6</v>
      </c>
      <c r="G41" s="58" t="s">
        <v>5</v>
      </c>
      <c r="H41" s="58" t="s">
        <v>7</v>
      </c>
      <c r="I41" s="58" t="s">
        <v>3</v>
      </c>
      <c r="J41" s="59"/>
      <c r="K41" s="57"/>
      <c r="L41" s="58" t="s">
        <v>3</v>
      </c>
      <c r="M41" s="58" t="s">
        <v>4</v>
      </c>
      <c r="N41" s="58" t="s">
        <v>5</v>
      </c>
      <c r="O41" s="58" t="s">
        <v>6</v>
      </c>
      <c r="P41" s="58" t="s">
        <v>5</v>
      </c>
      <c r="Q41" s="58" t="s">
        <v>7</v>
      </c>
      <c r="R41" s="58" t="s">
        <v>3</v>
      </c>
      <c r="S41" s="59"/>
      <c r="U41" s="58" t="s">
        <v>3</v>
      </c>
      <c r="V41" s="58" t="s">
        <v>4</v>
      </c>
      <c r="W41" s="58" t="s">
        <v>5</v>
      </c>
      <c r="X41" s="58" t="s">
        <v>6</v>
      </c>
      <c r="Y41" s="58" t="s">
        <v>5</v>
      </c>
      <c r="Z41" s="58" t="s">
        <v>7</v>
      </c>
      <c r="AA41" s="58" t="s">
        <v>3</v>
      </c>
      <c r="AB41" s="59"/>
      <c r="AC41" s="61"/>
      <c r="AD41" s="58" t="s">
        <v>3</v>
      </c>
      <c r="AE41" s="58" t="s">
        <v>4</v>
      </c>
      <c r="AF41" s="58" t="s">
        <v>5</v>
      </c>
      <c r="AG41" s="58" t="s">
        <v>6</v>
      </c>
      <c r="AH41" s="58" t="s">
        <v>5</v>
      </c>
      <c r="AI41" s="58" t="s">
        <v>7</v>
      </c>
      <c r="AJ41" s="58" t="s">
        <v>3</v>
      </c>
    </row>
    <row r="42" spans="3:36" s="69" customFormat="1" ht="30" customHeight="1" x14ac:dyDescent="0.35">
      <c r="C42" s="67" t="str">
        <f>IF(DAY(MaySun1)=1,"",IF(AND(YEAR(MaySun1+1)=CalendarYear,MONTH(MaySun1+1)=5),MaySun1+1,""))</f>
        <v/>
      </c>
      <c r="D42" s="67">
        <f>IF(DAY(MaySun1)=1,"",IF(AND(YEAR(MaySun1+2)=CalendarYear,MONTH(MaySun1+2)=5),MaySun1+2,""))</f>
        <v>42856</v>
      </c>
      <c r="E42" s="67">
        <f>IF(DAY(MaySun1)=1,"",IF(AND(YEAR(MaySun1+3)=CalendarYear,MONTH(MaySun1+3)=5),MaySun1+3,""))</f>
        <v>42857</v>
      </c>
      <c r="F42" s="67">
        <f>IF(DAY(MaySun1)=1,"",IF(AND(YEAR(MaySun1+4)=CalendarYear,MONTH(MaySun1+4)=5),MaySun1+4,""))</f>
        <v>42858</v>
      </c>
      <c r="G42" s="67">
        <f>IF(DAY(MaySun1)=1,"",IF(AND(YEAR(MaySun1+5)=CalendarYear,MONTH(MaySun1+5)=5),MaySun1+5,""))</f>
        <v>42859</v>
      </c>
      <c r="H42" s="67">
        <f>IF(DAY(MaySun1)=1,"",IF(AND(YEAR(MaySun1+6)=CalendarYear,MONTH(MaySun1+6)=5),MaySun1+6,""))</f>
        <v>42860</v>
      </c>
      <c r="I42" s="67">
        <f>IF(DAY(MaySun1)=1,IF(AND(YEAR(MaySun1)=CalendarYear,MONTH(MaySun1)=5),MaySun1,""),IF(AND(YEAR(MaySun1+7)=CalendarYear,MONTH(MaySun1+7)=5),MaySun1+7,""))</f>
        <v>42861</v>
      </c>
      <c r="J42" s="68"/>
      <c r="K42" s="71"/>
      <c r="L42" s="67" t="str">
        <f>IF(DAY(JunSun1)=1,"",IF(AND(YEAR(JunSun1+1)=CalendarYear,MONTH(JunSun1+1)=6),JunSun1+1,""))</f>
        <v/>
      </c>
      <c r="M42" s="67" t="str">
        <f>IF(DAY(JunSun1)=1,"",IF(AND(YEAR(JunSun1+2)=CalendarYear,MONTH(JunSun1+2)=6),JunSun1+2,""))</f>
        <v/>
      </c>
      <c r="N42" s="67" t="str">
        <f>IF(DAY(JunSun1)=1,"",IF(AND(YEAR(JunSun1+3)=CalendarYear,MONTH(JunSun1+3)=6),JunSun1+3,""))</f>
        <v/>
      </c>
      <c r="O42" s="67" t="str">
        <f>IF(DAY(JunSun1)=1,"",IF(AND(YEAR(JunSun1+4)=CalendarYear,MONTH(JunSun1+4)=6),JunSun1+4,""))</f>
        <v/>
      </c>
      <c r="P42" s="67">
        <f>IF(DAY(JunSun1)=1,"",IF(AND(YEAR(JunSun1+5)=CalendarYear,MONTH(JunSun1+5)=6),JunSun1+5,""))</f>
        <v>42887</v>
      </c>
      <c r="Q42" s="67">
        <f>IF(DAY(JunSun1)=1,"",IF(AND(YEAR(JunSun1+6)=CalendarYear,MONTH(JunSun1+6)=6),JunSun1+6,""))</f>
        <v>42888</v>
      </c>
      <c r="R42" s="67">
        <f>IF(DAY(JunSun1)=1,IF(AND(YEAR(JunSun1)=CalendarYear,MONTH(JunSun1)=6),JunSun1,""),IF(AND(YEAR(JunSun1+7)=CalendarYear,MONTH(JunSun1+7)=6),JunSun1+7,""))</f>
        <v>42889</v>
      </c>
      <c r="S42" s="68"/>
      <c r="U42" s="67" t="str">
        <f>IF(DAY(JulSun1)=1,"",IF(AND(YEAR(JulSun1+1)=CalendarYear,MONTH(JulSun1+1)=7),JulSun1+1,""))</f>
        <v/>
      </c>
      <c r="V42" s="67" t="str">
        <f>IF(DAY(JulSun1)=1,"",IF(AND(YEAR(JulSun1+2)=CalendarYear,MONTH(JulSun1+2)=7),JulSun1+2,""))</f>
        <v/>
      </c>
      <c r="W42" s="67" t="str">
        <f>IF(DAY(JulSun1)=1,"",IF(AND(YEAR(JulSun1+3)=CalendarYear,MONTH(JulSun1+3)=7),JulSun1+3,""))</f>
        <v/>
      </c>
      <c r="X42" s="67" t="str">
        <f>IF(DAY(JulSun1)=1,"",IF(AND(YEAR(JulSun1+4)=CalendarYear,MONTH(JulSun1+4)=7),JulSun1+4,""))</f>
        <v/>
      </c>
      <c r="Y42" s="67" t="str">
        <f>IF(DAY(JulSun1)=1,"",IF(AND(YEAR(JulSun1+5)=CalendarYear,MONTH(JulSun1+5)=7),JulSun1+5,""))</f>
        <v/>
      </c>
      <c r="Z42" s="67" t="str">
        <f>IF(DAY(JulSun1)=1,"",IF(AND(YEAR(JulSun1+6)=CalendarYear,MONTH(JulSun1+6)=7),JulSun1+6,""))</f>
        <v/>
      </c>
      <c r="AA42" s="67">
        <f>IF(DAY(JulSun1)=1,IF(AND(YEAR(JulSun1)=CalendarYear,MONTH(JulSun1)=7),JulSun1,""),IF(AND(YEAR(JulSun1+7)=CalendarYear,MONTH(JulSun1+7)=7),JulSun1+7,""))</f>
        <v>42917</v>
      </c>
      <c r="AB42" s="68"/>
      <c r="AC42" s="72"/>
      <c r="AD42" s="67" t="str">
        <f>IF(DAY(AugSun1)=1,"",IF(AND(YEAR(AugSun1+1)=CalendarYear,MONTH(AugSun1+1)=8),AugSun1+1,""))</f>
        <v/>
      </c>
      <c r="AE42" s="67" t="str">
        <f>IF(DAY(AugSun1)=1,"",IF(AND(YEAR(AugSun1+2)=CalendarYear,MONTH(AugSun1+2)=8),AugSun1+2,""))</f>
        <v/>
      </c>
      <c r="AF42" s="67">
        <f>IF(DAY(AugSun1)=1,"",IF(AND(YEAR(AugSun1+3)=CalendarYear,MONTH(AugSun1+3)=8),AugSun1+3,""))</f>
        <v>42948</v>
      </c>
      <c r="AG42" s="67">
        <f>IF(DAY(AugSun1)=1,"",IF(AND(YEAR(AugSun1+4)=CalendarYear,MONTH(AugSun1+4)=8),AugSun1+4,""))</f>
        <v>42949</v>
      </c>
      <c r="AH42" s="67">
        <f>IF(DAY(AugSun1)=1,"",IF(AND(YEAR(AugSun1+5)=CalendarYear,MONTH(AugSun1+5)=8),AugSun1+5,""))</f>
        <v>42950</v>
      </c>
      <c r="AI42" s="67">
        <f>IF(DAY(AugSun1)=1,"",IF(AND(YEAR(AugSun1+6)=CalendarYear,MONTH(AugSun1+6)=8),AugSun1+6,""))</f>
        <v>42951</v>
      </c>
      <c r="AJ42" s="67">
        <f>IF(DAY(AugSun1)=1,IF(AND(YEAR(AugSun1)=CalendarYear,MONTH(AugSun1)=8),AugSun1,""),IF(AND(YEAR(AugSun1+7)=CalendarYear,MONTH(AugSun1+7)=8),AugSun1+7,""))</f>
        <v>42952</v>
      </c>
    </row>
    <row r="43" spans="3:36" s="69" customFormat="1" ht="30" customHeight="1" x14ac:dyDescent="0.35">
      <c r="C43" s="67">
        <f>IF(DAY(MaySun1)=1,IF(AND(YEAR(MaySun1+1)=CalendarYear,MONTH(MaySun1+1)=5),MaySun1+1,""),IF(AND(YEAR(MaySun1+8)=CalendarYear,MONTH(MaySun1+8)=5),MaySun1+8,""))</f>
        <v>42862</v>
      </c>
      <c r="D43" s="67">
        <f>IF(DAY(MaySun1)=1,IF(AND(YEAR(MaySun1+2)=CalendarYear,MONTH(MaySun1+2)=5),MaySun1+2,""),IF(AND(YEAR(MaySun1+9)=CalendarYear,MONTH(MaySun1+9)=5),MaySun1+9,""))</f>
        <v>42863</v>
      </c>
      <c r="E43" s="67">
        <f>IF(DAY(MaySun1)=1,IF(AND(YEAR(MaySun1+3)=CalendarYear,MONTH(MaySun1+3)=5),MaySun1+3,""),IF(AND(YEAR(MaySun1+10)=CalendarYear,MONTH(MaySun1+10)=5),MaySun1+10,""))</f>
        <v>42864</v>
      </c>
      <c r="F43" s="67">
        <f>IF(DAY(MaySun1)=1,IF(AND(YEAR(MaySun1+4)=CalendarYear,MONTH(MaySun1+4)=5),MaySun1+4,""),IF(AND(YEAR(MaySun1+11)=CalendarYear,MONTH(MaySun1+11)=5),MaySun1+11,""))</f>
        <v>42865</v>
      </c>
      <c r="G43" s="67">
        <f>IF(DAY(MaySun1)=1,IF(AND(YEAR(MaySun1+5)=CalendarYear,MONTH(MaySun1+5)=5),MaySun1+5,""),IF(AND(YEAR(MaySun1+12)=CalendarYear,MONTH(MaySun1+12)=5),MaySun1+12,""))</f>
        <v>42866</v>
      </c>
      <c r="H43" s="67">
        <f>IF(DAY(MaySun1)=1,IF(AND(YEAR(MaySun1+6)=CalendarYear,MONTH(MaySun1+6)=5),MaySun1+6,""),IF(AND(YEAR(MaySun1+13)=CalendarYear,MONTH(MaySun1+13)=5),MaySun1+13,""))</f>
        <v>42867</v>
      </c>
      <c r="I43" s="67">
        <f>IF(DAY(MaySun1)=1,IF(AND(YEAR(MaySun1+7)=CalendarYear,MONTH(MaySun1+7)=5),MaySun1+7,""),IF(AND(YEAR(MaySun1+14)=CalendarYear,MONTH(MaySun1+14)=5),MaySun1+14,""))</f>
        <v>42868</v>
      </c>
      <c r="J43" s="68"/>
      <c r="K43" s="70"/>
      <c r="L43" s="67">
        <f>IF(DAY(JunSun1)=1,IF(AND(YEAR(JunSun1+1)=CalendarYear,MONTH(JunSun1+1)=6),JunSun1+1,""),IF(AND(YEAR(JunSun1+8)=CalendarYear,MONTH(JunSun1+8)=6),JunSun1+8,""))</f>
        <v>42890</v>
      </c>
      <c r="M43" s="67">
        <f>IF(DAY(JunSun1)=1,IF(AND(YEAR(JunSun1+2)=CalendarYear,MONTH(JunSun1+2)=6),JunSun1+2,""),IF(AND(YEAR(JunSun1+9)=CalendarYear,MONTH(JunSun1+9)=6),JunSun1+9,""))</f>
        <v>42891</v>
      </c>
      <c r="N43" s="67">
        <f>IF(DAY(JunSun1)=1,IF(AND(YEAR(JunSun1+3)=CalendarYear,MONTH(JunSun1+3)=6),JunSun1+3,""),IF(AND(YEAR(JunSun1+10)=CalendarYear,MONTH(JunSun1+10)=6),JunSun1+10,""))</f>
        <v>42892</v>
      </c>
      <c r="O43" s="67">
        <f>IF(DAY(JunSun1)=1,IF(AND(YEAR(JunSun1+4)=CalendarYear,MONTH(JunSun1+4)=6),JunSun1+4,""),IF(AND(YEAR(JunSun1+11)=CalendarYear,MONTH(JunSun1+11)=6),JunSun1+11,""))</f>
        <v>42893</v>
      </c>
      <c r="P43" s="67">
        <f>IF(DAY(JunSun1)=1,IF(AND(YEAR(JunSun1+5)=CalendarYear,MONTH(JunSun1+5)=6),JunSun1+5,""),IF(AND(YEAR(JunSun1+12)=CalendarYear,MONTH(JunSun1+12)=6),JunSun1+12,""))</f>
        <v>42894</v>
      </c>
      <c r="Q43" s="67">
        <f>IF(DAY(JunSun1)=1,IF(AND(YEAR(JunSun1+6)=CalendarYear,MONTH(JunSun1+6)=6),JunSun1+6,""),IF(AND(YEAR(JunSun1+13)=CalendarYear,MONTH(JunSun1+13)=6),JunSun1+13,""))</f>
        <v>42895</v>
      </c>
      <c r="R43" s="67">
        <f>IF(DAY(JunSun1)=1,IF(AND(YEAR(JunSun1+7)=CalendarYear,MONTH(JunSun1+7)=6),JunSun1+7,""),IF(AND(YEAR(JunSun1+14)=CalendarYear,MONTH(JunSun1+14)=6),JunSun1+14,""))</f>
        <v>42896</v>
      </c>
      <c r="S43" s="68"/>
      <c r="U43" s="67">
        <f>IF(DAY(JulSun1)=1,IF(AND(YEAR(JulSun1+1)=CalendarYear,MONTH(JulSun1+1)=7),JulSun1+1,""),IF(AND(YEAR(JulSun1+8)=CalendarYear,MONTH(JulSun1+8)=7),JulSun1+8,""))</f>
        <v>42918</v>
      </c>
      <c r="V43" s="67">
        <f>IF(DAY(JulSun1)=1,IF(AND(YEAR(JulSun1+2)=CalendarYear,MONTH(JulSun1+2)=7),JulSun1+2,""),IF(AND(YEAR(JulSun1+9)=CalendarYear,MONTH(JulSun1+9)=7),JulSun1+9,""))</f>
        <v>42919</v>
      </c>
      <c r="W43" s="67">
        <f>IF(DAY(JulSun1)=1,IF(AND(YEAR(JulSun1+3)=CalendarYear,MONTH(JulSun1+3)=7),JulSun1+3,""),IF(AND(YEAR(JulSun1+10)=CalendarYear,MONTH(JulSun1+10)=7),JulSun1+10,""))</f>
        <v>42920</v>
      </c>
      <c r="X43" s="67">
        <f>IF(DAY(JulSun1)=1,IF(AND(YEAR(JulSun1+4)=CalendarYear,MONTH(JulSun1+4)=7),JulSun1+4,""),IF(AND(YEAR(JulSun1+11)=CalendarYear,MONTH(JulSun1+11)=7),JulSun1+11,""))</f>
        <v>42921</v>
      </c>
      <c r="Y43" s="67">
        <f>IF(DAY(JulSun1)=1,IF(AND(YEAR(JulSun1+5)=CalendarYear,MONTH(JulSun1+5)=7),JulSun1+5,""),IF(AND(YEAR(JulSun1+12)=CalendarYear,MONTH(JulSun1+12)=7),JulSun1+12,""))</f>
        <v>42922</v>
      </c>
      <c r="Z43" s="67">
        <f>IF(DAY(JulSun1)=1,IF(AND(YEAR(JulSun1+6)=CalendarYear,MONTH(JulSun1+6)=7),JulSun1+6,""),IF(AND(YEAR(JulSun1+13)=CalendarYear,MONTH(JulSun1+13)=7),JulSun1+13,""))</f>
        <v>42923</v>
      </c>
      <c r="AA43" s="67">
        <f>IF(DAY(JulSun1)=1,IF(AND(YEAR(JulSun1+7)=CalendarYear,MONTH(JulSun1+7)=7),JulSun1+7,""),IF(AND(YEAR(JulSun1+14)=CalendarYear,MONTH(JulSun1+14)=7),JulSun1+14,""))</f>
        <v>42924</v>
      </c>
      <c r="AB43" s="68"/>
      <c r="AD43" s="67">
        <f>IF(DAY(AugSun1)=1,IF(AND(YEAR(AugSun1+1)=CalendarYear,MONTH(AugSun1+1)=8),AugSun1+1,""),IF(AND(YEAR(AugSun1+8)=CalendarYear,MONTH(AugSun1+8)=8),AugSun1+8,""))</f>
        <v>42953</v>
      </c>
      <c r="AE43" s="67">
        <f>IF(DAY(AugSun1)=1,IF(AND(YEAR(AugSun1+2)=CalendarYear,MONTH(AugSun1+2)=8),AugSun1+2,""),IF(AND(YEAR(AugSun1+9)=CalendarYear,MONTH(AugSun1+9)=8),AugSun1+9,""))</f>
        <v>42954</v>
      </c>
      <c r="AF43" s="67">
        <f>IF(DAY(AugSun1)=1,IF(AND(YEAR(AugSun1+3)=CalendarYear,MONTH(AugSun1+3)=8),AugSun1+3,""),IF(AND(YEAR(AugSun1+10)=CalendarYear,MONTH(AugSun1+10)=8),AugSun1+10,""))</f>
        <v>42955</v>
      </c>
      <c r="AG43" s="67">
        <f>IF(DAY(AugSun1)=1,IF(AND(YEAR(AugSun1+4)=CalendarYear,MONTH(AugSun1+4)=8),AugSun1+4,""),IF(AND(YEAR(AugSun1+11)=CalendarYear,MONTH(AugSun1+11)=8),AugSun1+11,""))</f>
        <v>42956</v>
      </c>
      <c r="AH43" s="67">
        <f>IF(DAY(AugSun1)=1,IF(AND(YEAR(AugSun1+5)=CalendarYear,MONTH(AugSun1+5)=8),AugSun1+5,""),IF(AND(YEAR(AugSun1+12)=CalendarYear,MONTH(AugSun1+12)=8),AugSun1+12,""))</f>
        <v>42957</v>
      </c>
      <c r="AI43" s="67">
        <f>IF(DAY(AugSun1)=1,IF(AND(YEAR(AugSun1+6)=CalendarYear,MONTH(AugSun1+6)=8),AugSun1+6,""),IF(AND(YEAR(AugSun1+13)=CalendarYear,MONTH(AugSun1+13)=8),AugSun1+13,""))</f>
        <v>42958</v>
      </c>
      <c r="AJ43" s="67">
        <f>IF(DAY(AugSun1)=1,IF(AND(YEAR(AugSun1+7)=CalendarYear,MONTH(AugSun1+7)=8),AugSun1+7,""),IF(AND(YEAR(AugSun1+14)=CalendarYear,MONTH(AugSun1+14)=8),AugSun1+14,""))</f>
        <v>42959</v>
      </c>
    </row>
    <row r="44" spans="3:36" s="69" customFormat="1" ht="30" customHeight="1" x14ac:dyDescent="0.35">
      <c r="C44" s="67">
        <f>IF(DAY(MaySun1)=1,IF(AND(YEAR(MaySun1+8)=CalendarYear,MONTH(MaySun1+8)=5),MaySun1+8,""),IF(AND(YEAR(MaySun1+15)=CalendarYear,MONTH(MaySun1+15)=5),MaySun1+15,""))</f>
        <v>42869</v>
      </c>
      <c r="D44" s="67">
        <f>IF(DAY(MaySun1)=1,IF(AND(YEAR(MaySun1+9)=CalendarYear,MONTH(MaySun1+9)=5),MaySun1+9,""),IF(AND(YEAR(MaySun1+16)=CalendarYear,MONTH(MaySun1+16)=5),MaySun1+16,""))</f>
        <v>42870</v>
      </c>
      <c r="E44" s="67">
        <f>IF(DAY(MaySun1)=1,IF(AND(YEAR(MaySun1+10)=CalendarYear,MONTH(MaySun1+10)=5),MaySun1+10,""),IF(AND(YEAR(MaySun1+17)=CalendarYear,MONTH(MaySun1+17)=5),MaySun1+17,""))</f>
        <v>42871</v>
      </c>
      <c r="F44" s="67">
        <f>IF(DAY(MaySun1)=1,IF(AND(YEAR(MaySun1+11)=CalendarYear,MONTH(MaySun1+11)=5),MaySun1+11,""),IF(AND(YEAR(MaySun1+18)=CalendarYear,MONTH(MaySun1+18)=5),MaySun1+18,""))</f>
        <v>42872</v>
      </c>
      <c r="G44" s="67">
        <f>IF(DAY(MaySun1)=1,IF(AND(YEAR(MaySun1+12)=CalendarYear,MONTH(MaySun1+12)=5),MaySun1+12,""),IF(AND(YEAR(MaySun1+19)=CalendarYear,MONTH(MaySun1+19)=5),MaySun1+19,""))</f>
        <v>42873</v>
      </c>
      <c r="H44" s="67">
        <f>IF(DAY(MaySun1)=1,IF(AND(YEAR(MaySun1+13)=CalendarYear,MONTH(MaySun1+13)=5),MaySun1+13,""),IF(AND(YEAR(MaySun1+20)=CalendarYear,MONTH(MaySun1+20)=5),MaySun1+20,""))</f>
        <v>42874</v>
      </c>
      <c r="I44" s="67">
        <f>IF(DAY(MaySun1)=1,IF(AND(YEAR(MaySun1+14)=CalendarYear,MONTH(MaySun1+14)=5),MaySun1+14,""),IF(AND(YEAR(MaySun1+21)=CalendarYear,MONTH(MaySun1+21)=5),MaySun1+21,""))</f>
        <v>42875</v>
      </c>
      <c r="J44" s="68"/>
      <c r="K44" s="67"/>
      <c r="L44" s="67">
        <f>IF(DAY(JunSun1)=1,IF(AND(YEAR(JunSun1+8)=CalendarYear,MONTH(JunSun1+8)=6),JunSun1+8,""),IF(AND(YEAR(JunSun1+15)=CalendarYear,MONTH(JunSun1+15)=6),JunSun1+15,""))</f>
        <v>42897</v>
      </c>
      <c r="M44" s="67">
        <f>IF(DAY(JunSun1)=1,IF(AND(YEAR(JunSun1+9)=CalendarYear,MONTH(JunSun1+9)=6),JunSun1+9,""),IF(AND(YEAR(JunSun1+16)=CalendarYear,MONTH(JunSun1+16)=6),JunSun1+16,""))</f>
        <v>42898</v>
      </c>
      <c r="N44" s="67">
        <f>IF(DAY(JunSun1)=1,IF(AND(YEAR(JunSun1+10)=CalendarYear,MONTH(JunSun1+10)=6),JunSun1+10,""),IF(AND(YEAR(JunSun1+17)=CalendarYear,MONTH(JunSun1+17)=6),JunSun1+17,""))</f>
        <v>42899</v>
      </c>
      <c r="O44" s="67">
        <f>IF(DAY(JunSun1)=1,IF(AND(YEAR(JunSun1+11)=CalendarYear,MONTH(JunSun1+11)=6),JunSun1+11,""),IF(AND(YEAR(JunSun1+18)=CalendarYear,MONTH(JunSun1+18)=6),JunSun1+18,""))</f>
        <v>42900</v>
      </c>
      <c r="P44" s="67">
        <f>IF(DAY(JunSun1)=1,IF(AND(YEAR(JunSun1+12)=CalendarYear,MONTH(JunSun1+12)=6),JunSun1+12,""),IF(AND(YEAR(JunSun1+19)=CalendarYear,MONTH(JunSun1+19)=6),JunSun1+19,""))</f>
        <v>42901</v>
      </c>
      <c r="Q44" s="67">
        <f>IF(DAY(JunSun1)=1,IF(AND(YEAR(JunSun1+13)=CalendarYear,MONTH(JunSun1+13)=6),JunSun1+13,""),IF(AND(YEAR(JunSun1+20)=CalendarYear,MONTH(JunSun1+20)=6),JunSun1+20,""))</f>
        <v>42902</v>
      </c>
      <c r="R44" s="67">
        <f>IF(DAY(JunSun1)=1,IF(AND(YEAR(JunSun1+14)=CalendarYear,MONTH(JunSun1+14)=6),JunSun1+14,""),IF(AND(YEAR(JunSun1+21)=CalendarYear,MONTH(JunSun1+21)=6),JunSun1+21,""))</f>
        <v>42903</v>
      </c>
      <c r="S44" s="68"/>
      <c r="U44" s="67">
        <f>IF(DAY(JulSun1)=1,IF(AND(YEAR(JulSun1+8)=CalendarYear,MONTH(JulSun1+8)=7),JulSun1+8,""),IF(AND(YEAR(JulSun1+15)=CalendarYear,MONTH(JulSun1+15)=7),JulSun1+15,""))</f>
        <v>42925</v>
      </c>
      <c r="V44" s="67">
        <f>IF(DAY(JulSun1)=1,IF(AND(YEAR(JulSun1+9)=CalendarYear,MONTH(JulSun1+9)=7),JulSun1+9,""),IF(AND(YEAR(JulSun1+16)=CalendarYear,MONTH(JulSun1+16)=7),JulSun1+16,""))</f>
        <v>42926</v>
      </c>
      <c r="W44" s="67">
        <f>IF(DAY(JulSun1)=1,IF(AND(YEAR(JulSun1+10)=CalendarYear,MONTH(JulSun1+10)=7),JulSun1+10,""),IF(AND(YEAR(JulSun1+17)=CalendarYear,MONTH(JulSun1+17)=7),JulSun1+17,""))</f>
        <v>42927</v>
      </c>
      <c r="X44" s="67">
        <f>IF(DAY(JulSun1)=1,IF(AND(YEAR(JulSun1+11)=CalendarYear,MONTH(JulSun1+11)=7),JulSun1+11,""),IF(AND(YEAR(JulSun1+18)=CalendarYear,MONTH(JulSun1+18)=7),JulSun1+18,""))</f>
        <v>42928</v>
      </c>
      <c r="Y44" s="67">
        <f>IF(DAY(JulSun1)=1,IF(AND(YEAR(JulSun1+12)=CalendarYear,MONTH(JulSun1+12)=7),JulSun1+12,""),IF(AND(YEAR(JulSun1+19)=CalendarYear,MONTH(JulSun1+19)=7),JulSun1+19,""))</f>
        <v>42929</v>
      </c>
      <c r="Z44" s="67">
        <f>IF(DAY(JulSun1)=1,IF(AND(YEAR(JulSun1+13)=CalendarYear,MONTH(JulSun1+13)=7),JulSun1+13,""),IF(AND(YEAR(JulSun1+20)=CalendarYear,MONTH(JulSun1+20)=7),JulSun1+20,""))</f>
        <v>42930</v>
      </c>
      <c r="AA44" s="67">
        <f>IF(DAY(JulSun1)=1,IF(AND(YEAR(JulSun1+14)=CalendarYear,MONTH(JulSun1+14)=7),JulSun1+14,""),IF(AND(YEAR(JulSun1+21)=CalendarYear,MONTH(JulSun1+21)=7),JulSun1+21,""))</f>
        <v>42931</v>
      </c>
      <c r="AB44" s="68"/>
      <c r="AD44" s="67">
        <f>IF(DAY(AugSun1)=1,IF(AND(YEAR(AugSun1+8)=CalendarYear,MONTH(AugSun1+8)=8),AugSun1+8,""),IF(AND(YEAR(AugSun1+15)=CalendarYear,MONTH(AugSun1+15)=8),AugSun1+15,""))</f>
        <v>42960</v>
      </c>
      <c r="AE44" s="67">
        <f>IF(DAY(AugSun1)=1,IF(AND(YEAR(AugSun1+9)=CalendarYear,MONTH(AugSun1+9)=8),AugSun1+9,""),IF(AND(YEAR(AugSun1+16)=CalendarYear,MONTH(AugSun1+16)=8),AugSun1+16,""))</f>
        <v>42961</v>
      </c>
      <c r="AF44" s="67">
        <f>IF(DAY(AugSun1)=1,IF(AND(YEAR(AugSun1+10)=CalendarYear,MONTH(AugSun1+10)=8),AugSun1+10,""),IF(AND(YEAR(AugSun1+17)=CalendarYear,MONTH(AugSun1+17)=8),AugSun1+17,""))</f>
        <v>42962</v>
      </c>
      <c r="AG44" s="67">
        <f>IF(DAY(AugSun1)=1,IF(AND(YEAR(AugSun1+11)=CalendarYear,MONTH(AugSun1+11)=8),AugSun1+11,""),IF(AND(YEAR(AugSun1+18)=CalendarYear,MONTH(AugSun1+18)=8),AugSun1+18,""))</f>
        <v>42963</v>
      </c>
      <c r="AH44" s="67">
        <f>IF(DAY(AugSun1)=1,IF(AND(YEAR(AugSun1+12)=CalendarYear,MONTH(AugSun1+12)=8),AugSun1+12,""),IF(AND(YEAR(AugSun1+19)=CalendarYear,MONTH(AugSun1+19)=8),AugSun1+19,""))</f>
        <v>42964</v>
      </c>
      <c r="AI44" s="67">
        <f>IF(DAY(AugSun1)=1,IF(AND(YEAR(AugSun1+13)=CalendarYear,MONTH(AugSun1+13)=8),AugSun1+13,""),IF(AND(YEAR(AugSun1+20)=CalendarYear,MONTH(AugSun1+20)=8),AugSun1+20,""))</f>
        <v>42965</v>
      </c>
      <c r="AJ44" s="67">
        <f>IF(DAY(AugSun1)=1,IF(AND(YEAR(AugSun1+14)=CalendarYear,MONTH(AugSun1+14)=8),AugSun1+14,""),IF(AND(YEAR(AugSun1+21)=CalendarYear,MONTH(AugSun1+21)=8),AugSun1+21,""))</f>
        <v>42966</v>
      </c>
    </row>
    <row r="45" spans="3:36" s="69" customFormat="1" ht="30" customHeight="1" x14ac:dyDescent="0.35">
      <c r="C45" s="67">
        <f>IF(DAY(MaySun1)=1,IF(AND(YEAR(MaySun1+15)=CalendarYear,MONTH(MaySun1+15)=5),MaySun1+15,""),IF(AND(YEAR(MaySun1+22)=CalendarYear,MONTH(MaySun1+22)=5),MaySun1+22,""))</f>
        <v>42876</v>
      </c>
      <c r="D45" s="67">
        <f>IF(DAY(MaySun1)=1,IF(AND(YEAR(MaySun1+16)=CalendarYear,MONTH(MaySun1+16)=5),MaySun1+16,""),IF(AND(YEAR(MaySun1+23)=CalendarYear,MONTH(MaySun1+23)=5),MaySun1+23,""))</f>
        <v>42877</v>
      </c>
      <c r="E45" s="67">
        <f>IF(DAY(MaySun1)=1,IF(AND(YEAR(MaySun1+17)=CalendarYear,MONTH(MaySun1+17)=5),MaySun1+17,""),IF(AND(YEAR(MaySun1+24)=CalendarYear,MONTH(MaySun1+24)=5),MaySun1+24,""))</f>
        <v>42878</v>
      </c>
      <c r="F45" s="67">
        <f>IF(DAY(MaySun1)=1,IF(AND(YEAR(MaySun1+18)=CalendarYear,MONTH(MaySun1+18)=5),MaySun1+18,""),IF(AND(YEAR(MaySun1+25)=CalendarYear,MONTH(MaySun1+25)=5),MaySun1+25,""))</f>
        <v>42879</v>
      </c>
      <c r="G45" s="67">
        <f>IF(DAY(MaySun1)=1,IF(AND(YEAR(MaySun1+19)=CalendarYear,MONTH(MaySun1+19)=5),MaySun1+19,""),IF(AND(YEAR(MaySun1+26)=CalendarYear,MONTH(MaySun1+26)=5),MaySun1+26,""))</f>
        <v>42880</v>
      </c>
      <c r="H45" s="67">
        <f>IF(DAY(MaySun1)=1,IF(AND(YEAR(MaySun1+20)=CalendarYear,MONTH(MaySun1+20)=5),MaySun1+20,""),IF(AND(YEAR(MaySun1+27)=CalendarYear,MONTH(MaySun1+27)=5),MaySun1+27,""))</f>
        <v>42881</v>
      </c>
      <c r="I45" s="67">
        <f>IF(DAY(MaySun1)=1,IF(AND(YEAR(MaySun1+21)=CalendarYear,MONTH(MaySun1+21)=5),MaySun1+21,""),IF(AND(YEAR(MaySun1+28)=CalendarYear,MONTH(MaySun1+28)=5),MaySun1+28,""))</f>
        <v>42882</v>
      </c>
      <c r="J45" s="68"/>
      <c r="K45" s="67"/>
      <c r="L45" s="67">
        <f>IF(DAY(JunSun1)=1,IF(AND(YEAR(JunSun1+15)=CalendarYear,MONTH(JunSun1+15)=6),JunSun1+15,""),IF(AND(YEAR(JunSun1+22)=CalendarYear,MONTH(JunSun1+22)=6),JunSun1+22,""))</f>
        <v>42904</v>
      </c>
      <c r="M45" s="67">
        <f>IF(DAY(JunSun1)=1,IF(AND(YEAR(JunSun1+16)=CalendarYear,MONTH(JunSun1+16)=6),JunSun1+16,""),IF(AND(YEAR(JunSun1+23)=CalendarYear,MONTH(JunSun1+23)=6),JunSun1+23,""))</f>
        <v>42905</v>
      </c>
      <c r="N45" s="67">
        <f>IF(DAY(JunSun1)=1,IF(AND(YEAR(JunSun1+17)=CalendarYear,MONTH(JunSun1+17)=6),JunSun1+17,""),IF(AND(YEAR(JunSun1+24)=CalendarYear,MONTH(JunSun1+24)=6),JunSun1+24,""))</f>
        <v>42906</v>
      </c>
      <c r="O45" s="67">
        <f>IF(DAY(JunSun1)=1,IF(AND(YEAR(JunSun1+18)=CalendarYear,MONTH(JunSun1+18)=6),JunSun1+18,""),IF(AND(YEAR(JunSun1+25)=CalendarYear,MONTH(JunSun1+25)=6),JunSun1+25,""))</f>
        <v>42907</v>
      </c>
      <c r="P45" s="67">
        <f>IF(DAY(JunSun1)=1,IF(AND(YEAR(JunSun1+19)=CalendarYear,MONTH(JunSun1+19)=6),JunSun1+19,""),IF(AND(YEAR(JunSun1+26)=CalendarYear,MONTH(JunSun1+26)=6),JunSun1+26,""))</f>
        <v>42908</v>
      </c>
      <c r="Q45" s="67">
        <f>IF(DAY(JunSun1)=1,IF(AND(YEAR(JunSun1+20)=CalendarYear,MONTH(JunSun1+20)=6),JunSun1+20,""),IF(AND(YEAR(JunSun1+27)=CalendarYear,MONTH(JunSun1+27)=6),JunSun1+27,""))</f>
        <v>42909</v>
      </c>
      <c r="R45" s="67">
        <f>IF(DAY(JunSun1)=1,IF(AND(YEAR(JunSun1+21)=CalendarYear,MONTH(JunSun1+21)=6),JunSun1+21,""),IF(AND(YEAR(JunSun1+28)=CalendarYear,MONTH(JunSun1+28)=6),JunSun1+28,""))</f>
        <v>42910</v>
      </c>
      <c r="S45" s="68"/>
      <c r="U45" s="67">
        <f>IF(DAY(JulSun1)=1,IF(AND(YEAR(JulSun1+15)=CalendarYear,MONTH(JulSun1+15)=7),JulSun1+15,""),IF(AND(YEAR(JulSun1+22)=CalendarYear,MONTH(JulSun1+22)=7),JulSun1+22,""))</f>
        <v>42932</v>
      </c>
      <c r="V45" s="67">
        <f>IF(DAY(JulSun1)=1,IF(AND(YEAR(JulSun1+16)=CalendarYear,MONTH(JulSun1+16)=7),JulSun1+16,""),IF(AND(YEAR(JulSun1+23)=CalendarYear,MONTH(JulSun1+23)=7),JulSun1+23,""))</f>
        <v>42933</v>
      </c>
      <c r="W45" s="67">
        <f>IF(DAY(JulSun1)=1,IF(AND(YEAR(JulSun1+17)=CalendarYear,MONTH(JulSun1+17)=7),JulSun1+17,""),IF(AND(YEAR(JulSun1+24)=CalendarYear,MONTH(JulSun1+24)=7),JulSun1+24,""))</f>
        <v>42934</v>
      </c>
      <c r="X45" s="67">
        <f>IF(DAY(JulSun1)=1,IF(AND(YEAR(JulSun1+18)=CalendarYear,MONTH(JulSun1+18)=7),JulSun1+18,""),IF(AND(YEAR(JulSun1+25)=CalendarYear,MONTH(JulSun1+25)=7),JulSun1+25,""))</f>
        <v>42935</v>
      </c>
      <c r="Y45" s="67">
        <f>IF(DAY(JulSun1)=1,IF(AND(YEAR(JulSun1+19)=CalendarYear,MONTH(JulSun1+19)=7),JulSun1+19,""),IF(AND(YEAR(JulSun1+26)=CalendarYear,MONTH(JulSun1+26)=7),JulSun1+26,""))</f>
        <v>42936</v>
      </c>
      <c r="Z45" s="67">
        <f>IF(DAY(JulSun1)=1,IF(AND(YEAR(JulSun1+20)=CalendarYear,MONTH(JulSun1+20)=7),JulSun1+20,""),IF(AND(YEAR(JulSun1+27)=CalendarYear,MONTH(JulSun1+27)=7),JulSun1+27,""))</f>
        <v>42937</v>
      </c>
      <c r="AA45" s="67">
        <f>IF(DAY(JulSun1)=1,IF(AND(YEAR(JulSun1+21)=CalendarYear,MONTH(JulSun1+21)=7),JulSun1+21,""),IF(AND(YEAR(JulSun1+28)=CalendarYear,MONTH(JulSun1+28)=7),JulSun1+28,""))</f>
        <v>42938</v>
      </c>
      <c r="AB45" s="68"/>
      <c r="AD45" s="67">
        <f>IF(DAY(AugSun1)=1,IF(AND(YEAR(AugSun1+15)=CalendarYear,MONTH(AugSun1+15)=8),AugSun1+15,""),IF(AND(YEAR(AugSun1+22)=CalendarYear,MONTH(AugSun1+22)=8),AugSun1+22,""))</f>
        <v>42967</v>
      </c>
      <c r="AE45" s="67">
        <f>IF(DAY(AugSun1)=1,IF(AND(YEAR(AugSun1+16)=CalendarYear,MONTH(AugSun1+16)=8),AugSun1+16,""),IF(AND(YEAR(AugSun1+23)=CalendarYear,MONTH(AugSun1+23)=8),AugSun1+23,""))</f>
        <v>42968</v>
      </c>
      <c r="AF45" s="67">
        <f>IF(DAY(AugSun1)=1,IF(AND(YEAR(AugSun1+17)=CalendarYear,MONTH(AugSun1+17)=8),AugSun1+17,""),IF(AND(YEAR(AugSun1+24)=CalendarYear,MONTH(AugSun1+24)=8),AugSun1+24,""))</f>
        <v>42969</v>
      </c>
      <c r="AG45" s="67">
        <f>IF(DAY(AugSun1)=1,IF(AND(YEAR(AugSun1+18)=CalendarYear,MONTH(AugSun1+18)=8),AugSun1+18,""),IF(AND(YEAR(AugSun1+25)=CalendarYear,MONTH(AugSun1+25)=8),AugSun1+25,""))</f>
        <v>42970</v>
      </c>
      <c r="AH45" s="67">
        <f>IF(DAY(AugSun1)=1,IF(AND(YEAR(AugSun1+19)=CalendarYear,MONTH(AugSun1+19)=8),AugSun1+19,""),IF(AND(YEAR(AugSun1+26)=CalendarYear,MONTH(AugSun1+26)=8),AugSun1+26,""))</f>
        <v>42971</v>
      </c>
      <c r="AI45" s="67">
        <f>IF(DAY(AugSun1)=1,IF(AND(YEAR(AugSun1+20)=CalendarYear,MONTH(AugSun1+20)=8),AugSun1+20,""),IF(AND(YEAR(AugSun1+27)=CalendarYear,MONTH(AugSun1+27)=8),AugSun1+27,""))</f>
        <v>42972</v>
      </c>
      <c r="AJ45" s="67">
        <f>IF(DAY(AugSun1)=1,IF(AND(YEAR(AugSun1+21)=CalendarYear,MONTH(AugSun1+21)=8),AugSun1+21,""),IF(AND(YEAR(AugSun1+28)=CalendarYear,MONTH(AugSun1+28)=8),AugSun1+28,""))</f>
        <v>42973</v>
      </c>
    </row>
    <row r="46" spans="3:36" s="69" customFormat="1" ht="30" customHeight="1" x14ac:dyDescent="0.35">
      <c r="C46" s="67">
        <f>IF(DAY(MaySun1)=1,IF(AND(YEAR(MaySun1+22)=CalendarYear,MONTH(MaySun1+22)=5),MaySun1+22,""),IF(AND(YEAR(MaySun1+29)=CalendarYear,MONTH(MaySun1+29)=5),MaySun1+29,""))</f>
        <v>42883</v>
      </c>
      <c r="D46" s="67">
        <f>IF(DAY(MaySun1)=1,IF(AND(YEAR(MaySun1+23)=CalendarYear,MONTH(MaySun1+23)=5),MaySun1+23,""),IF(AND(YEAR(MaySun1+30)=CalendarYear,MONTH(MaySun1+30)=5),MaySun1+30,""))</f>
        <v>42884</v>
      </c>
      <c r="E46" s="67">
        <f>IF(DAY(MaySun1)=1,IF(AND(YEAR(MaySun1+24)=CalendarYear,MONTH(MaySun1+24)=5),MaySun1+24,""),IF(AND(YEAR(MaySun1+31)=CalendarYear,MONTH(MaySun1+31)=5),MaySun1+31,""))</f>
        <v>42885</v>
      </c>
      <c r="F46" s="67">
        <f>IF(DAY(MaySun1)=1,IF(AND(YEAR(MaySun1+25)=CalendarYear,MONTH(MaySun1+25)=5),MaySun1+25,""),IF(AND(YEAR(MaySun1+32)=CalendarYear,MONTH(MaySun1+32)=5),MaySun1+32,""))</f>
        <v>42886</v>
      </c>
      <c r="G46" s="67" t="str">
        <f>IF(DAY(MaySun1)=1,IF(AND(YEAR(MaySun1+26)=CalendarYear,MONTH(MaySun1+26)=5),MaySun1+26,""),IF(AND(YEAR(MaySun1+33)=CalendarYear,MONTH(MaySun1+33)=5),MaySun1+33,""))</f>
        <v/>
      </c>
      <c r="H46" s="67" t="str">
        <f>IF(DAY(MaySun1)=1,IF(AND(YEAR(MaySun1+27)=CalendarYear,MONTH(MaySun1+27)=5),MaySun1+27,""),IF(AND(YEAR(MaySun1+34)=CalendarYear,MONTH(MaySun1+34)=5),MaySun1+34,""))</f>
        <v/>
      </c>
      <c r="I46" s="67" t="str">
        <f>IF(DAY(MaySun1)=1,IF(AND(YEAR(MaySun1+28)=CalendarYear,MONTH(MaySun1+28)=5),MaySun1+28,""),IF(AND(YEAR(MaySun1+35)=CalendarYear,MONTH(MaySun1+35)=5),MaySun1+35,""))</f>
        <v/>
      </c>
      <c r="J46" s="68"/>
      <c r="K46" s="67"/>
      <c r="L46" s="67">
        <f>IF(DAY(JunSun1)=1,IF(AND(YEAR(JunSun1+22)=CalendarYear,MONTH(JunSun1+22)=6),JunSun1+22,""),IF(AND(YEAR(JunSun1+29)=CalendarYear,MONTH(JunSun1+29)=6),JunSun1+29,""))</f>
        <v>42911</v>
      </c>
      <c r="M46" s="67">
        <f>IF(DAY(JunSun1)=1,IF(AND(YEAR(JunSun1+23)=CalendarYear,MONTH(JunSun1+23)=6),JunSun1+23,""),IF(AND(YEAR(JunSun1+30)=CalendarYear,MONTH(JunSun1+30)=6),JunSun1+30,""))</f>
        <v>42912</v>
      </c>
      <c r="N46" s="67">
        <f>IF(DAY(JunSun1)=1,IF(AND(YEAR(JunSun1+24)=CalendarYear,MONTH(JunSun1+24)=6),JunSun1+24,""),IF(AND(YEAR(JunSun1+31)=CalendarYear,MONTH(JunSun1+31)=6),JunSun1+31,""))</f>
        <v>42913</v>
      </c>
      <c r="O46" s="67">
        <f>IF(DAY(JunSun1)=1,IF(AND(YEAR(JunSun1+25)=CalendarYear,MONTH(JunSun1+25)=6),JunSun1+25,""),IF(AND(YEAR(JunSun1+32)=CalendarYear,MONTH(JunSun1+32)=6),JunSun1+32,""))</f>
        <v>42914</v>
      </c>
      <c r="P46" s="67">
        <f>IF(DAY(JunSun1)=1,IF(AND(YEAR(JunSun1+26)=CalendarYear,MONTH(JunSun1+26)=6),JunSun1+26,""),IF(AND(YEAR(JunSun1+33)=CalendarYear,MONTH(JunSun1+33)=6),JunSun1+33,""))</f>
        <v>42915</v>
      </c>
      <c r="Q46" s="67">
        <f>IF(DAY(JunSun1)=1,IF(AND(YEAR(JunSun1+27)=CalendarYear,MONTH(JunSun1+27)=6),JunSun1+27,""),IF(AND(YEAR(JunSun1+34)=CalendarYear,MONTH(JunSun1+34)=6),JunSun1+34,""))</f>
        <v>42916</v>
      </c>
      <c r="R46" s="67" t="str">
        <f>IF(DAY(JunSun1)=1,IF(AND(YEAR(JunSun1+28)=CalendarYear,MONTH(JunSun1+28)=6),JunSun1+28,""),IF(AND(YEAR(JunSun1+35)=CalendarYear,MONTH(JunSun1+35)=6),JunSun1+35,""))</f>
        <v/>
      </c>
      <c r="S46" s="68"/>
      <c r="U46" s="67">
        <f>IF(DAY(JulSun1)=1,IF(AND(YEAR(JulSun1+22)=CalendarYear,MONTH(JulSun1+22)=7),JulSun1+22,""),IF(AND(YEAR(JulSun1+29)=CalendarYear,MONTH(JulSun1+29)=7),JulSun1+29,""))</f>
        <v>42939</v>
      </c>
      <c r="V46" s="67">
        <f>IF(DAY(JulSun1)=1,IF(AND(YEAR(JulSun1+23)=CalendarYear,MONTH(JulSun1+23)=7),JulSun1+23,""),IF(AND(YEAR(JulSun1+30)=CalendarYear,MONTH(JulSun1+30)=7),JulSun1+30,""))</f>
        <v>42940</v>
      </c>
      <c r="W46" s="67">
        <f>IF(DAY(JulSun1)=1,IF(AND(YEAR(JulSun1+24)=CalendarYear,MONTH(JulSun1+24)=7),JulSun1+24,""),IF(AND(YEAR(JulSun1+31)=CalendarYear,MONTH(JulSun1+31)=7),JulSun1+31,""))</f>
        <v>42941</v>
      </c>
      <c r="X46" s="67">
        <f>IF(DAY(JulSun1)=1,IF(AND(YEAR(JulSun1+25)=CalendarYear,MONTH(JulSun1+25)=7),JulSun1+25,""),IF(AND(YEAR(JulSun1+32)=CalendarYear,MONTH(JulSun1+32)=7),JulSun1+32,""))</f>
        <v>42942</v>
      </c>
      <c r="Y46" s="67">
        <f>IF(DAY(JulSun1)=1,IF(AND(YEAR(JulSun1+26)=CalendarYear,MONTH(JulSun1+26)=7),JulSun1+26,""),IF(AND(YEAR(JulSun1+33)=CalendarYear,MONTH(JulSun1+33)=7),JulSun1+33,""))</f>
        <v>42943</v>
      </c>
      <c r="Z46" s="67">
        <f>IF(DAY(JulSun1)=1,IF(AND(YEAR(JulSun1+27)=CalendarYear,MONTH(JulSun1+27)=7),JulSun1+27,""),IF(AND(YEAR(JulSun1+34)=CalendarYear,MONTH(JulSun1+34)=7),JulSun1+34,""))</f>
        <v>42944</v>
      </c>
      <c r="AA46" s="67">
        <f>IF(DAY(JulSun1)=1,IF(AND(YEAR(JulSun1+28)=CalendarYear,MONTH(JulSun1+28)=7),JulSun1+28,""),IF(AND(YEAR(JulSun1+35)=CalendarYear,MONTH(JulSun1+35)=7),JulSun1+35,""))</f>
        <v>42945</v>
      </c>
      <c r="AB46" s="68"/>
      <c r="AD46" s="67">
        <f>IF(DAY(AugSun1)=1,IF(AND(YEAR(AugSun1+22)=CalendarYear,MONTH(AugSun1+22)=8),AugSun1+22,""),IF(AND(YEAR(AugSun1+29)=CalendarYear,MONTH(AugSun1+29)=8),AugSun1+29,""))</f>
        <v>42974</v>
      </c>
      <c r="AE46" s="67">
        <f>IF(DAY(AugSun1)=1,IF(AND(YEAR(AugSun1+23)=CalendarYear,MONTH(AugSun1+23)=8),AugSun1+23,""),IF(AND(YEAR(AugSun1+30)=CalendarYear,MONTH(AugSun1+30)=8),AugSun1+30,""))</f>
        <v>42975</v>
      </c>
      <c r="AF46" s="67">
        <f>IF(DAY(AugSun1)=1,IF(AND(YEAR(AugSun1+24)=CalendarYear,MONTH(AugSun1+24)=8),AugSun1+24,""),IF(AND(YEAR(AugSun1+31)=CalendarYear,MONTH(AugSun1+31)=8),AugSun1+31,""))</f>
        <v>42976</v>
      </c>
      <c r="AG46" s="67">
        <f>IF(DAY(AugSun1)=1,IF(AND(YEAR(AugSun1+25)=CalendarYear,MONTH(AugSun1+25)=8),AugSun1+25,""),IF(AND(YEAR(AugSun1+32)=CalendarYear,MONTH(AugSun1+32)=8),AugSun1+32,""))</f>
        <v>42977</v>
      </c>
      <c r="AH46" s="67">
        <f>IF(DAY(AugSun1)=1,IF(AND(YEAR(AugSun1+26)=CalendarYear,MONTH(AugSun1+26)=8),AugSun1+26,""),IF(AND(YEAR(AugSun1+33)=CalendarYear,MONTH(AugSun1+33)=8),AugSun1+33,""))</f>
        <v>42978</v>
      </c>
      <c r="AI46" s="67" t="str">
        <f>IF(DAY(AugSun1)=1,IF(AND(YEAR(AugSun1+27)=CalendarYear,MONTH(AugSun1+27)=8),AugSun1+27,""),IF(AND(YEAR(AugSun1+34)=CalendarYear,MONTH(AugSun1+34)=8),AugSun1+34,""))</f>
        <v/>
      </c>
      <c r="AJ46" s="67" t="str">
        <f>IF(DAY(AugSun1)=1,IF(AND(YEAR(AugSun1+28)=CalendarYear,MONTH(AugSun1+28)=8),AugSun1+28,""),IF(AND(YEAR(AugSun1+35)=CalendarYear,MONTH(AugSun1+35)=8),AugSun1+35,""))</f>
        <v/>
      </c>
    </row>
    <row r="47" spans="3:36" s="69" customFormat="1" ht="30" customHeight="1" x14ac:dyDescent="0.35">
      <c r="C47" s="67" t="str">
        <f>IF(DAY(MaySun1)=1,IF(AND(YEAR(MaySun1+29)=CalendarYear,MONTH(MaySun1+29)=5),MaySun1+29,""),IF(AND(YEAR(MaySun1+36)=CalendarYear,MONTH(MaySun1+36)=5),MaySun1+36,""))</f>
        <v/>
      </c>
      <c r="D47" s="67" t="str">
        <f>IF(DAY(MaySun1)=1,IF(AND(YEAR(MaySun1+30)=CalendarYear,MONTH(MaySun1+30)=5),MaySun1+30,""),IF(AND(YEAR(MaySun1+37)=CalendarYear,MONTH(MaySun1+37)=5),MaySun1+37,""))</f>
        <v/>
      </c>
      <c r="E47" s="67" t="str">
        <f>IF(DAY(MaySun1)=1,IF(AND(YEAR(MaySun1+31)=CalendarYear,MONTH(MaySun1+31)=5),MaySun1+31,""),IF(AND(YEAR(MaySun1+38)=CalendarYear,MONTH(MaySun1+38)=5),MaySun1+38,""))</f>
        <v/>
      </c>
      <c r="F47" s="67" t="str">
        <f>IF(DAY(MaySun1)=1,IF(AND(YEAR(MaySun1+32)=CalendarYear,MONTH(MaySun1+32)=5),MaySun1+32,""),IF(AND(YEAR(MaySun1+39)=CalendarYear,MONTH(MaySun1+39)=5),MaySun1+39,""))</f>
        <v/>
      </c>
      <c r="G47" s="67" t="str">
        <f>IF(DAY(MaySun1)=1,IF(AND(YEAR(MaySun1+33)=CalendarYear,MONTH(MaySun1+33)=5),MaySun1+33,""),IF(AND(YEAR(MaySun1+40)=CalendarYear,MONTH(MaySun1+40)=5),MaySun1+40,""))</f>
        <v/>
      </c>
      <c r="H47" s="67" t="str">
        <f>IF(DAY(MaySun1)=1,IF(AND(YEAR(MaySun1+34)=CalendarYear,MONTH(MaySun1+34)=5),MaySun1+34,""),IF(AND(YEAR(MaySun1+41)=CalendarYear,MONTH(MaySun1+41)=5),MaySun1+41,""))</f>
        <v/>
      </c>
      <c r="I47" s="67" t="str">
        <f>IF(DAY(MaySun1)=1,IF(AND(YEAR(MaySun1+35)=CalendarYear,MONTH(MaySun1+35)=5),MaySun1+35,""),IF(AND(YEAR(MaySun1+42)=CalendarYear,MONTH(MaySun1+42)=5),MaySun1+42,""))</f>
        <v/>
      </c>
      <c r="J47" s="68"/>
      <c r="K47" s="67"/>
      <c r="L47" s="67" t="str">
        <f>IF(DAY(JunSun1)=1,IF(AND(YEAR(JunSun1+29)=CalendarYear,MONTH(JunSun1+29)=6),JunSun1+29,""),IF(AND(YEAR(JunSun1+36)=CalendarYear,MONTH(JunSun1+36)=6),JunSun1+36,""))</f>
        <v/>
      </c>
      <c r="M47" s="67" t="str">
        <f>IF(DAY(JunSun1)=1,IF(AND(YEAR(JunSun1+30)=CalendarYear,MONTH(JunSun1+30)=6),JunSun1+30,""),IF(AND(YEAR(JunSun1+37)=CalendarYear,MONTH(JunSun1+37)=6),JunSun1+37,""))</f>
        <v/>
      </c>
      <c r="N47" s="67" t="str">
        <f>IF(DAY(JunSun1)=1,IF(AND(YEAR(JunSun1+31)=CalendarYear,MONTH(JunSun1+31)=6),JunSun1+31,""),IF(AND(YEAR(JunSun1+38)=CalendarYear,MONTH(JunSun1+38)=6),JunSun1+38,""))</f>
        <v/>
      </c>
      <c r="O47" s="67" t="str">
        <f>IF(DAY(JunSun1)=1,IF(AND(YEAR(JunSun1+32)=CalendarYear,MONTH(JunSun1+32)=6),JunSun1+32,""),IF(AND(YEAR(JunSun1+39)=CalendarYear,MONTH(JunSun1+39)=6),JunSun1+39,""))</f>
        <v/>
      </c>
      <c r="P47" s="67" t="str">
        <f>IF(DAY(JunSun1)=1,IF(AND(YEAR(JunSun1+33)=CalendarYear,MONTH(JunSun1+33)=6),JunSun1+33,""),IF(AND(YEAR(JunSun1+40)=CalendarYear,MONTH(JunSun1+40)=6),JunSun1+40,""))</f>
        <v/>
      </c>
      <c r="Q47" s="67" t="str">
        <f>IF(DAY(JunSun1)=1,IF(AND(YEAR(JunSun1+34)=CalendarYear,MONTH(JunSun1+34)=6),JunSun1+34,""),IF(AND(YEAR(JunSun1+41)=CalendarYear,MONTH(JunSun1+41)=6),JunSun1+41,""))</f>
        <v/>
      </c>
      <c r="R47" s="67" t="str">
        <f>IF(DAY(JunSun1)=1,IF(AND(YEAR(JunSun1+35)=CalendarYear,MONTH(JunSun1+35)=6),JunSun1+35,""),IF(AND(YEAR(JunSun1+42)=CalendarYear,MONTH(JunSun1+42)=6),JunSun1+42,""))</f>
        <v/>
      </c>
      <c r="S47" s="68"/>
      <c r="U47" s="67">
        <f>IF(DAY(JulSun1)=1,IF(AND(YEAR(JulSun1+29)=CalendarYear,MONTH(JulSun1+29)=7),JulSun1+29,""),IF(AND(YEAR(JulSun1+36)=CalendarYear,MONTH(JulSun1+36)=7),JulSun1+36,""))</f>
        <v>42946</v>
      </c>
      <c r="V47" s="67">
        <f>IF(DAY(JulSun1)=1,IF(AND(YEAR(JulSun1+30)=CalendarYear,MONTH(JulSun1+30)=7),JulSun1+30,""),IF(AND(YEAR(JulSun1+37)=CalendarYear,MONTH(JulSun1+37)=7),JulSun1+37,""))</f>
        <v>42947</v>
      </c>
      <c r="W47" s="67" t="str">
        <f>IF(DAY(JulSun1)=1,IF(AND(YEAR(JulSun1+31)=CalendarYear,MONTH(JulSun1+31)=7),JulSun1+31,""),IF(AND(YEAR(JulSun1+38)=CalendarYear,MONTH(JulSun1+38)=7),JulSun1+38,""))</f>
        <v/>
      </c>
      <c r="X47" s="67" t="str">
        <f>IF(DAY(JulSun1)=1,IF(AND(YEAR(JulSun1+32)=CalendarYear,MONTH(JulSun1+32)=7),JulSun1+32,""),IF(AND(YEAR(JulSun1+39)=CalendarYear,MONTH(JulSun1+39)=7),JulSun1+39,""))</f>
        <v/>
      </c>
      <c r="Y47" s="67" t="str">
        <f>IF(DAY(JulSun1)=1,IF(AND(YEAR(JulSun1+33)=CalendarYear,MONTH(JulSun1+33)=7),JulSun1+33,""),IF(AND(YEAR(JulSun1+40)=CalendarYear,MONTH(JulSun1+40)=7),JulSun1+40,""))</f>
        <v/>
      </c>
      <c r="Z47" s="67" t="str">
        <f>IF(DAY(JulSun1)=1,IF(AND(YEAR(JulSun1+34)=CalendarYear,MONTH(JulSun1+34)=7),JulSun1+34,""),IF(AND(YEAR(JulSun1+41)=CalendarYear,MONTH(JulSun1+41)=7),JulSun1+41,""))</f>
        <v/>
      </c>
      <c r="AA47" s="67" t="str">
        <f>IF(DAY(JulSun1)=1,IF(AND(YEAR(JulSun1+35)=CalendarYear,MONTH(JulSun1+35)=7),JulSun1+35,""),IF(AND(YEAR(JulSun1+42)=CalendarYear,MONTH(JulSun1+42)=7),JulSun1+42,""))</f>
        <v/>
      </c>
      <c r="AB47" s="68"/>
      <c r="AD47" s="67" t="str">
        <f>IF(DAY(AugSun1)=1,IF(AND(YEAR(AugSun1+29)=CalendarYear,MONTH(AugSun1+29)=8),AugSun1+29,""),IF(AND(YEAR(AugSun1+36)=CalendarYear,MONTH(AugSun1+36)=8),AugSun1+36,""))</f>
        <v/>
      </c>
      <c r="AE47" s="67" t="str">
        <f>IF(DAY(AugSun1)=1,IF(AND(YEAR(AugSun1+30)=CalendarYear,MONTH(AugSun1+30)=8),AugSun1+30,""),IF(AND(YEAR(AugSun1+37)=CalendarYear,MONTH(AugSun1+37)=8),AugSun1+37,""))</f>
        <v/>
      </c>
      <c r="AF47" s="67" t="str">
        <f>IF(DAY(AugSun1)=1,IF(AND(YEAR(AugSun1+31)=CalendarYear,MONTH(AugSun1+31)=8),AugSun1+31,""),IF(AND(YEAR(AugSun1+38)=CalendarYear,MONTH(AugSun1+38)=8),AugSun1+38,""))</f>
        <v/>
      </c>
      <c r="AG47" s="67" t="str">
        <f>IF(DAY(AugSun1)=1,IF(AND(YEAR(AugSun1+32)=CalendarYear,MONTH(AugSun1+32)=8),AugSun1+32,""),IF(AND(YEAR(AugSun1+39)=CalendarYear,MONTH(AugSun1+39)=8),AugSun1+39,""))</f>
        <v/>
      </c>
      <c r="AH47" s="67" t="str">
        <f>IF(DAY(AugSun1)=1,IF(AND(YEAR(AugSun1+33)=CalendarYear,MONTH(AugSun1+33)=8),AugSun1+33,""),IF(AND(YEAR(AugSun1+40)=CalendarYear,MONTH(AugSun1+40)=8),AugSun1+40,""))</f>
        <v/>
      </c>
      <c r="AI47" s="67" t="str">
        <f>IF(DAY(AugSun1)=1,IF(AND(YEAR(AugSun1+34)=CalendarYear,MONTH(AugSun1+34)=8),AugSun1+34,""),IF(AND(YEAR(AugSun1+41)=CalendarYear,MONTH(AugSun1+41)=8),AugSun1+41,""))</f>
        <v/>
      </c>
      <c r="AJ47" s="67" t="str">
        <f>IF(DAY(AugSun1)=1,IF(AND(YEAR(AugSun1+35)=CalendarYear,MONTH(AugSun1+35)=8),AugSun1+35,""),IF(AND(YEAR(AugSun1+42)=CalendarYear,MONTH(AugSun1+42)=8),AugSun1+42,""))</f>
        <v/>
      </c>
    </row>
    <row r="48" spans="3:36" ht="30" customHeight="1" x14ac:dyDescent="0.2">
      <c r="C48" s="2"/>
      <c r="D48" s="2"/>
      <c r="E48" s="2"/>
      <c r="F48" s="2"/>
      <c r="G48" s="2"/>
      <c r="H48" s="2"/>
      <c r="I48" s="2"/>
      <c r="J48" s="9"/>
      <c r="K48" s="1"/>
      <c r="L48" s="2"/>
      <c r="M48" s="2"/>
      <c r="N48" s="2"/>
      <c r="O48" s="2"/>
      <c r="P48" s="2"/>
      <c r="Q48" s="2"/>
      <c r="R48" s="2"/>
      <c r="S48" s="9"/>
      <c r="U48" s="1"/>
      <c r="V48" s="1"/>
      <c r="W48" s="1"/>
      <c r="X48" s="1"/>
      <c r="Y48" s="1"/>
      <c r="Z48" s="1"/>
      <c r="AA48" s="1"/>
      <c r="AB48" s="8"/>
      <c r="AC48" s="2"/>
      <c r="AD48" s="1"/>
      <c r="AE48" s="1"/>
      <c r="AF48" s="1"/>
      <c r="AG48" s="1"/>
      <c r="AH48" s="1"/>
      <c r="AI48" s="1"/>
      <c r="AJ48" s="1"/>
    </row>
    <row r="49" spans="3:36" s="64" customFormat="1" ht="30" customHeight="1" x14ac:dyDescent="0.5">
      <c r="C49" s="82">
        <f>DATE(CalendarYear,9,1)</f>
        <v>42979</v>
      </c>
      <c r="D49" s="82"/>
      <c r="E49" s="82"/>
      <c r="F49" s="82"/>
      <c r="G49" s="82"/>
      <c r="H49" s="82"/>
      <c r="I49" s="82"/>
      <c r="J49" s="62"/>
      <c r="L49" s="82">
        <f>DATE(CalendarYear,10,1)</f>
        <v>43009</v>
      </c>
      <c r="M49" s="82"/>
      <c r="N49" s="82"/>
      <c r="O49" s="82"/>
      <c r="P49" s="82"/>
      <c r="Q49" s="82"/>
      <c r="R49" s="82"/>
      <c r="S49" s="62"/>
      <c r="U49" s="82">
        <f>DATE(CalendarYear,11,1)</f>
        <v>43040</v>
      </c>
      <c r="V49" s="82"/>
      <c r="W49" s="82"/>
      <c r="X49" s="82"/>
      <c r="Y49" s="82"/>
      <c r="Z49" s="82"/>
      <c r="AA49" s="82"/>
      <c r="AB49" s="62"/>
      <c r="AD49" s="82">
        <f>DATE(CalendarYear,12,1)</f>
        <v>43070</v>
      </c>
      <c r="AE49" s="82"/>
      <c r="AF49" s="82"/>
      <c r="AG49" s="82"/>
      <c r="AH49" s="82"/>
      <c r="AI49" s="82"/>
      <c r="AJ49" s="82"/>
    </row>
    <row r="50" spans="3:36" s="56" customFormat="1" ht="30" customHeight="1" x14ac:dyDescent="0.4">
      <c r="C50" s="58" t="s">
        <v>3</v>
      </c>
      <c r="D50" s="58" t="s">
        <v>4</v>
      </c>
      <c r="E50" s="58" t="s">
        <v>5</v>
      </c>
      <c r="F50" s="58" t="s">
        <v>6</v>
      </c>
      <c r="G50" s="58" t="s">
        <v>5</v>
      </c>
      <c r="H50" s="58" t="s">
        <v>7</v>
      </c>
      <c r="I50" s="58" t="s">
        <v>3</v>
      </c>
      <c r="J50" s="59"/>
      <c r="L50" s="58" t="s">
        <v>3</v>
      </c>
      <c r="M50" s="58" t="s">
        <v>4</v>
      </c>
      <c r="N50" s="58" t="s">
        <v>5</v>
      </c>
      <c r="O50" s="58" t="s">
        <v>6</v>
      </c>
      <c r="P50" s="58" t="s">
        <v>5</v>
      </c>
      <c r="Q50" s="58" t="s">
        <v>7</v>
      </c>
      <c r="R50" s="58" t="s">
        <v>3</v>
      </c>
      <c r="S50" s="59"/>
      <c r="U50" s="58" t="s">
        <v>3</v>
      </c>
      <c r="V50" s="58" t="s">
        <v>4</v>
      </c>
      <c r="W50" s="58" t="s">
        <v>5</v>
      </c>
      <c r="X50" s="58" t="s">
        <v>6</v>
      </c>
      <c r="Y50" s="58" t="s">
        <v>5</v>
      </c>
      <c r="Z50" s="58" t="s">
        <v>7</v>
      </c>
      <c r="AA50" s="58" t="s">
        <v>3</v>
      </c>
      <c r="AB50" s="59"/>
      <c r="AD50" s="58" t="s">
        <v>3</v>
      </c>
      <c r="AE50" s="58" t="s">
        <v>4</v>
      </c>
      <c r="AF50" s="58" t="s">
        <v>5</v>
      </c>
      <c r="AG50" s="58" t="s">
        <v>6</v>
      </c>
      <c r="AH50" s="58" t="s">
        <v>5</v>
      </c>
      <c r="AI50" s="58" t="s">
        <v>7</v>
      </c>
      <c r="AJ50" s="58" t="s">
        <v>3</v>
      </c>
    </row>
    <row r="51" spans="3:36" s="69" customFormat="1" ht="30" customHeight="1" x14ac:dyDescent="0.35">
      <c r="C51" s="67" t="str">
        <f>IF(DAY(SepSun1)=1,"",IF(AND(YEAR(SepSun1+1)=CalendarYear,MONTH(SepSun1+1)=9),SepSun1+1,""))</f>
        <v/>
      </c>
      <c r="D51" s="67" t="str">
        <f>IF(DAY(SepSun1)=1,"",IF(AND(YEAR(SepSun1+2)=CalendarYear,MONTH(SepSun1+2)=9),SepSun1+2,""))</f>
        <v/>
      </c>
      <c r="E51" s="67" t="str">
        <f>IF(DAY(SepSun1)=1,"",IF(AND(YEAR(SepSun1+3)=CalendarYear,MONTH(SepSun1+3)=9),SepSun1+3,""))</f>
        <v/>
      </c>
      <c r="F51" s="67" t="str">
        <f>IF(DAY(SepSun1)=1,"",IF(AND(YEAR(SepSun1+4)=CalendarYear,MONTH(SepSun1+4)=9),SepSun1+4,""))</f>
        <v/>
      </c>
      <c r="G51" s="67" t="str">
        <f>IF(DAY(SepSun1)=1,"",IF(AND(YEAR(SepSun1+5)=CalendarYear,MONTH(SepSun1+5)=9),SepSun1+5,""))</f>
        <v/>
      </c>
      <c r="H51" s="67">
        <f>IF(DAY(SepSun1)=1,"",IF(AND(YEAR(SepSun1+6)=CalendarYear,MONTH(SepSun1+6)=9),SepSun1+6,""))</f>
        <v>42979</v>
      </c>
      <c r="I51" s="67">
        <f>IF(DAY(SepSun1)=1,IF(AND(YEAR(SepSun1)=CalendarYear,MONTH(SepSun1)=9),SepSun1,""),IF(AND(YEAR(SepSun1+7)=CalendarYear,MONTH(SepSun1+7)=9),SepSun1+7,""))</f>
        <v>42980</v>
      </c>
      <c r="J51" s="68"/>
      <c r="L51" s="67">
        <f>IF(DAY(OctSun1)=1,"",IF(AND(YEAR(OctSun1+1)=CalendarYear,MONTH(OctSun1+1)=10),OctSun1+1,""))</f>
        <v>43009</v>
      </c>
      <c r="M51" s="67">
        <f>IF(DAY(OctSun1)=1,"",IF(AND(YEAR(OctSun1+2)=CalendarYear,MONTH(OctSun1+2)=10),OctSun1+2,""))</f>
        <v>43010</v>
      </c>
      <c r="N51" s="67">
        <f>IF(DAY(OctSun1)=1,"",IF(AND(YEAR(OctSun1+3)=CalendarYear,MONTH(OctSun1+3)=10),OctSun1+3,""))</f>
        <v>43011</v>
      </c>
      <c r="O51" s="67">
        <f>IF(DAY(OctSun1)=1,"",IF(AND(YEAR(OctSun1+4)=CalendarYear,MONTH(OctSun1+4)=10),OctSun1+4,""))</f>
        <v>43012</v>
      </c>
      <c r="P51" s="67">
        <f>IF(DAY(OctSun1)=1,"",IF(AND(YEAR(OctSun1+5)=CalendarYear,MONTH(OctSun1+5)=10),OctSun1+5,""))</f>
        <v>43013</v>
      </c>
      <c r="Q51" s="67">
        <f>IF(DAY(OctSun1)=1,"",IF(AND(YEAR(OctSun1+6)=CalendarYear,MONTH(OctSun1+6)=10),OctSun1+6,""))</f>
        <v>43014</v>
      </c>
      <c r="R51" s="67">
        <f>IF(DAY(OctSun1)=1,IF(AND(YEAR(OctSun1)=CalendarYear,MONTH(OctSun1)=10),OctSun1,""),IF(AND(YEAR(OctSun1+7)=CalendarYear,MONTH(OctSun1+7)=10),OctSun1+7,""))</f>
        <v>43015</v>
      </c>
      <c r="S51" s="68"/>
      <c r="U51" s="67" t="str">
        <f>IF(DAY(NovSun1)=1,"",IF(AND(YEAR(NovSun1+1)=CalendarYear,MONTH(NovSun1+1)=11),NovSun1+1,""))</f>
        <v/>
      </c>
      <c r="V51" s="67" t="str">
        <f>IF(DAY(NovSun1)=1,"",IF(AND(YEAR(NovSun1+2)=CalendarYear,MONTH(NovSun1+2)=11),NovSun1+2,""))</f>
        <v/>
      </c>
      <c r="W51" s="67" t="str">
        <f>IF(DAY(NovSun1)=1,"",IF(AND(YEAR(NovSun1+3)=CalendarYear,MONTH(NovSun1+3)=11),NovSun1+3,""))</f>
        <v/>
      </c>
      <c r="X51" s="67">
        <f>IF(DAY(NovSun1)=1,"",IF(AND(YEAR(NovSun1+4)=CalendarYear,MONTH(NovSun1+4)=11),NovSun1+4,""))</f>
        <v>43040</v>
      </c>
      <c r="Y51" s="67">
        <f>IF(DAY(NovSun1)=1,"",IF(AND(YEAR(NovSun1+5)=CalendarYear,MONTH(NovSun1+5)=11),NovSun1+5,""))</f>
        <v>43041</v>
      </c>
      <c r="Z51" s="67">
        <f>IF(DAY(NovSun1)=1,"",IF(AND(YEAR(NovSun1+6)=CalendarYear,MONTH(NovSun1+6)=11),NovSun1+6,""))</f>
        <v>43042</v>
      </c>
      <c r="AA51" s="67">
        <f>IF(DAY(NovSun1)=1,IF(AND(YEAR(NovSun1)=CalendarYear,MONTH(NovSun1)=11),NovSun1,""),IF(AND(YEAR(NovSun1+7)=CalendarYear,MONTH(NovSun1+7)=11),NovSun1+7,""))</f>
        <v>43043</v>
      </c>
      <c r="AB51" s="68"/>
      <c r="AD51" s="67" t="str">
        <f>IF(DAY(DecSun1)=1,"",IF(AND(YEAR(DecSun1+1)=CalendarYear,MONTH(DecSun1+1)=12),DecSun1+1,""))</f>
        <v/>
      </c>
      <c r="AE51" s="67" t="str">
        <f>IF(DAY(DecSun1)=1,"",IF(AND(YEAR(DecSun1+2)=CalendarYear,MONTH(DecSun1+2)=12),DecSun1+2,""))</f>
        <v/>
      </c>
      <c r="AF51" s="67" t="str">
        <f>IF(DAY(DecSun1)=1,"",IF(AND(YEAR(DecSun1+3)=CalendarYear,MONTH(DecSun1+3)=12),DecSun1+3,""))</f>
        <v/>
      </c>
      <c r="AG51" s="67" t="str">
        <f>IF(DAY(DecSun1)=1,"",IF(AND(YEAR(DecSun1+4)=CalendarYear,MONTH(DecSun1+4)=12),DecSun1+4,""))</f>
        <v/>
      </c>
      <c r="AH51" s="67" t="str">
        <f>IF(DAY(DecSun1)=1,"",IF(AND(YEAR(DecSun1+5)=CalendarYear,MONTH(DecSun1+5)=12),DecSun1+5,""))</f>
        <v/>
      </c>
      <c r="AI51" s="67">
        <f>IF(DAY(DecSun1)=1,"",IF(AND(YEAR(DecSun1+6)=CalendarYear,MONTH(DecSun1+6)=12),DecSun1+6,""))</f>
        <v>43070</v>
      </c>
      <c r="AJ51" s="67">
        <f>IF(DAY(DecSun1)=1,IF(AND(YEAR(DecSun1)=CalendarYear,MONTH(DecSun1)=12),DecSun1,""),IF(AND(YEAR(DecSun1+7)=CalendarYear,MONTH(DecSun1+7)=12),DecSun1+7,""))</f>
        <v>43071</v>
      </c>
    </row>
    <row r="52" spans="3:36" s="69" customFormat="1" ht="30" customHeight="1" x14ac:dyDescent="0.35">
      <c r="C52" s="67">
        <f>IF(DAY(SepSun1)=1,IF(AND(YEAR(SepSun1+1)=CalendarYear,MONTH(SepSun1+1)=9),SepSun1+1,""),IF(AND(YEAR(SepSun1+8)=CalendarYear,MONTH(SepSun1+8)=9),SepSun1+8,""))</f>
        <v>42981</v>
      </c>
      <c r="D52" s="67">
        <f>IF(DAY(SepSun1)=1,IF(AND(YEAR(SepSun1+2)=CalendarYear,MONTH(SepSun1+2)=9),SepSun1+2,""),IF(AND(YEAR(SepSun1+9)=CalendarYear,MONTH(SepSun1+9)=9),SepSun1+9,""))</f>
        <v>42982</v>
      </c>
      <c r="E52" s="67">
        <f>IF(DAY(SepSun1)=1,IF(AND(YEAR(SepSun1+3)=CalendarYear,MONTH(SepSun1+3)=9),SepSun1+3,""),IF(AND(YEAR(SepSun1+10)=CalendarYear,MONTH(SepSun1+10)=9),SepSun1+10,""))</f>
        <v>42983</v>
      </c>
      <c r="F52" s="67">
        <f>IF(DAY(SepSun1)=1,IF(AND(YEAR(SepSun1+4)=CalendarYear,MONTH(SepSun1+4)=9),SepSun1+4,""),IF(AND(YEAR(SepSun1+11)=CalendarYear,MONTH(SepSun1+11)=9),SepSun1+11,""))</f>
        <v>42984</v>
      </c>
      <c r="G52" s="67">
        <f>IF(DAY(SepSun1)=1,IF(AND(YEAR(SepSun1+5)=CalendarYear,MONTH(SepSun1+5)=9),SepSun1+5,""),IF(AND(YEAR(SepSun1+12)=CalendarYear,MONTH(SepSun1+12)=9),SepSun1+12,""))</f>
        <v>42985</v>
      </c>
      <c r="H52" s="67">
        <f>IF(DAY(SepSun1)=1,IF(AND(YEAR(SepSun1+6)=CalendarYear,MONTH(SepSun1+6)=9),SepSun1+6,""),IF(AND(YEAR(SepSun1+13)=CalendarYear,MONTH(SepSun1+13)=9),SepSun1+13,""))</f>
        <v>42986</v>
      </c>
      <c r="I52" s="67">
        <f>IF(DAY(SepSun1)=1,IF(AND(YEAR(SepSun1+7)=CalendarYear,MONTH(SepSun1+7)=9),SepSun1+7,""),IF(AND(YEAR(SepSun1+14)=CalendarYear,MONTH(SepSun1+14)=9),SepSun1+14,""))</f>
        <v>42987</v>
      </c>
      <c r="J52" s="68"/>
      <c r="L52" s="67">
        <f>IF(DAY(OctSun1)=1,IF(AND(YEAR(OctSun1+1)=CalendarYear,MONTH(OctSun1+1)=10),OctSun1+1,""),IF(AND(YEAR(OctSun1+8)=CalendarYear,MONTH(OctSun1+8)=10),OctSun1+8,""))</f>
        <v>43016</v>
      </c>
      <c r="M52" s="67">
        <f>IF(DAY(OctSun1)=1,IF(AND(YEAR(OctSun1+2)=CalendarYear,MONTH(OctSun1+2)=10),OctSun1+2,""),IF(AND(YEAR(OctSun1+9)=CalendarYear,MONTH(OctSun1+9)=10),OctSun1+9,""))</f>
        <v>43017</v>
      </c>
      <c r="N52" s="67">
        <f>IF(DAY(OctSun1)=1,IF(AND(YEAR(OctSun1+3)=CalendarYear,MONTH(OctSun1+3)=10),OctSun1+3,""),IF(AND(YEAR(OctSun1+10)=CalendarYear,MONTH(OctSun1+10)=10),OctSun1+10,""))</f>
        <v>43018</v>
      </c>
      <c r="O52" s="67">
        <f>IF(DAY(OctSun1)=1,IF(AND(YEAR(OctSun1+4)=CalendarYear,MONTH(OctSun1+4)=10),OctSun1+4,""),IF(AND(YEAR(OctSun1+11)=CalendarYear,MONTH(OctSun1+11)=10),OctSun1+11,""))</f>
        <v>43019</v>
      </c>
      <c r="P52" s="67">
        <f>IF(DAY(OctSun1)=1,IF(AND(YEAR(OctSun1+5)=CalendarYear,MONTH(OctSun1+5)=10),OctSun1+5,""),IF(AND(YEAR(OctSun1+12)=CalendarYear,MONTH(OctSun1+12)=10),OctSun1+12,""))</f>
        <v>43020</v>
      </c>
      <c r="Q52" s="67">
        <f>IF(DAY(OctSun1)=1,IF(AND(YEAR(OctSun1+6)=CalendarYear,MONTH(OctSun1+6)=10),OctSun1+6,""),IF(AND(YEAR(OctSun1+13)=CalendarYear,MONTH(OctSun1+13)=10),OctSun1+13,""))</f>
        <v>43021</v>
      </c>
      <c r="R52" s="67">
        <f>IF(DAY(OctSun1)=1,IF(AND(YEAR(OctSun1+7)=CalendarYear,MONTH(OctSun1+7)=10),OctSun1+7,""),IF(AND(YEAR(OctSun1+14)=CalendarYear,MONTH(OctSun1+14)=10),OctSun1+14,""))</f>
        <v>43022</v>
      </c>
      <c r="S52" s="68"/>
      <c r="U52" s="67">
        <f>IF(DAY(NovSun1)=1,IF(AND(YEAR(NovSun1+1)=CalendarYear,MONTH(NovSun1+1)=11),NovSun1+1,""),IF(AND(YEAR(NovSun1+8)=CalendarYear,MONTH(NovSun1+8)=11),NovSun1+8,""))</f>
        <v>43044</v>
      </c>
      <c r="V52" s="67">
        <f>IF(DAY(NovSun1)=1,IF(AND(YEAR(NovSun1+2)=CalendarYear,MONTH(NovSun1+2)=11),NovSun1+2,""),IF(AND(YEAR(NovSun1+9)=CalendarYear,MONTH(NovSun1+9)=11),NovSun1+9,""))</f>
        <v>43045</v>
      </c>
      <c r="W52" s="67">
        <f>IF(DAY(NovSun1)=1,IF(AND(YEAR(NovSun1+3)=CalendarYear,MONTH(NovSun1+3)=11),NovSun1+3,""),IF(AND(YEAR(NovSun1+10)=CalendarYear,MONTH(NovSun1+10)=11),NovSun1+10,""))</f>
        <v>43046</v>
      </c>
      <c r="X52" s="67">
        <f>IF(DAY(NovSun1)=1,IF(AND(YEAR(NovSun1+4)=CalendarYear,MONTH(NovSun1+4)=11),NovSun1+4,""),IF(AND(YEAR(NovSun1+11)=CalendarYear,MONTH(NovSun1+11)=11),NovSun1+11,""))</f>
        <v>43047</v>
      </c>
      <c r="Y52" s="67">
        <f>IF(DAY(NovSun1)=1,IF(AND(YEAR(NovSun1+5)=CalendarYear,MONTH(NovSun1+5)=11),NovSun1+5,""),IF(AND(YEAR(NovSun1+12)=CalendarYear,MONTH(NovSun1+12)=11),NovSun1+12,""))</f>
        <v>43048</v>
      </c>
      <c r="Z52" s="67">
        <f>IF(DAY(NovSun1)=1,IF(AND(YEAR(NovSun1+6)=CalendarYear,MONTH(NovSun1+6)=11),NovSun1+6,""),IF(AND(YEAR(NovSun1+13)=CalendarYear,MONTH(NovSun1+13)=11),NovSun1+13,""))</f>
        <v>43049</v>
      </c>
      <c r="AA52" s="67">
        <f>IF(DAY(NovSun1)=1,IF(AND(YEAR(NovSun1+7)=CalendarYear,MONTH(NovSun1+7)=11),NovSun1+7,""),IF(AND(YEAR(NovSun1+14)=CalendarYear,MONTH(NovSun1+14)=11),NovSun1+14,""))</f>
        <v>43050</v>
      </c>
      <c r="AB52" s="68"/>
      <c r="AD52" s="67">
        <f>IF(DAY(DecSun1)=1,IF(AND(YEAR(DecSun1+1)=CalendarYear,MONTH(DecSun1+1)=12),DecSun1+1,""),IF(AND(YEAR(DecSun1+8)=CalendarYear,MONTH(DecSun1+8)=12),DecSun1+8,""))</f>
        <v>43072</v>
      </c>
      <c r="AE52" s="67">
        <f>IF(DAY(DecSun1)=1,IF(AND(YEAR(DecSun1+2)=CalendarYear,MONTH(DecSun1+2)=12),DecSun1+2,""),IF(AND(YEAR(DecSun1+9)=CalendarYear,MONTH(DecSun1+9)=12),DecSun1+9,""))</f>
        <v>43073</v>
      </c>
      <c r="AF52" s="67">
        <f>IF(DAY(DecSun1)=1,IF(AND(YEAR(DecSun1+3)=CalendarYear,MONTH(DecSun1+3)=12),DecSun1+3,""),IF(AND(YEAR(DecSun1+10)=CalendarYear,MONTH(DecSun1+10)=12),DecSun1+10,""))</f>
        <v>43074</v>
      </c>
      <c r="AG52" s="67">
        <f>IF(DAY(DecSun1)=1,IF(AND(YEAR(DecSun1+4)=CalendarYear,MONTH(DecSun1+4)=12),DecSun1+4,""),IF(AND(YEAR(DecSun1+11)=CalendarYear,MONTH(DecSun1+11)=12),DecSun1+11,""))</f>
        <v>43075</v>
      </c>
      <c r="AH52" s="67">
        <f>IF(DAY(DecSun1)=1,IF(AND(YEAR(DecSun1+5)=CalendarYear,MONTH(DecSun1+5)=12),DecSun1+5,""),IF(AND(YEAR(DecSun1+12)=CalendarYear,MONTH(DecSun1+12)=12),DecSun1+12,""))</f>
        <v>43076</v>
      </c>
      <c r="AI52" s="67">
        <f>IF(DAY(DecSun1)=1,IF(AND(YEAR(DecSun1+6)=CalendarYear,MONTH(DecSun1+6)=12),DecSun1+6,""),IF(AND(YEAR(DecSun1+13)=CalendarYear,MONTH(DecSun1+13)=12),DecSun1+13,""))</f>
        <v>43077</v>
      </c>
      <c r="AJ52" s="67">
        <f>IF(DAY(DecSun1)=1,IF(AND(YEAR(DecSun1+7)=CalendarYear,MONTH(DecSun1+7)=12),DecSun1+7,""),IF(AND(YEAR(DecSun1+14)=CalendarYear,MONTH(DecSun1+14)=12),DecSun1+14,""))</f>
        <v>43078</v>
      </c>
    </row>
    <row r="53" spans="3:36" s="69" customFormat="1" ht="30" customHeight="1" x14ac:dyDescent="0.35">
      <c r="C53" s="67">
        <f>IF(DAY(SepSun1)=1,IF(AND(YEAR(SepSun1+8)=CalendarYear,MONTH(SepSun1+8)=9),SepSun1+8,""),IF(AND(YEAR(SepSun1+15)=CalendarYear,MONTH(SepSun1+15)=9),SepSun1+15,""))</f>
        <v>42988</v>
      </c>
      <c r="D53" s="67">
        <f>IF(DAY(SepSun1)=1,IF(AND(YEAR(SepSun1+9)=CalendarYear,MONTH(SepSun1+9)=9),SepSun1+9,""),IF(AND(YEAR(SepSun1+16)=CalendarYear,MONTH(SepSun1+16)=9),SepSun1+16,""))</f>
        <v>42989</v>
      </c>
      <c r="E53" s="67">
        <f>IF(DAY(SepSun1)=1,IF(AND(YEAR(SepSun1+10)=CalendarYear,MONTH(SepSun1+10)=9),SepSun1+10,""),IF(AND(YEAR(SepSun1+17)=CalendarYear,MONTH(SepSun1+17)=9),SepSun1+17,""))</f>
        <v>42990</v>
      </c>
      <c r="F53" s="67">
        <f>IF(DAY(SepSun1)=1,IF(AND(YEAR(SepSun1+11)=CalendarYear,MONTH(SepSun1+11)=9),SepSun1+11,""),IF(AND(YEAR(SepSun1+18)=CalendarYear,MONTH(SepSun1+18)=9),SepSun1+18,""))</f>
        <v>42991</v>
      </c>
      <c r="G53" s="67">
        <f>IF(DAY(SepSun1)=1,IF(AND(YEAR(SepSun1+12)=CalendarYear,MONTH(SepSun1+12)=9),SepSun1+12,""),IF(AND(YEAR(SepSun1+19)=CalendarYear,MONTH(SepSun1+19)=9),SepSun1+19,""))</f>
        <v>42992</v>
      </c>
      <c r="H53" s="67">
        <f>IF(DAY(SepSun1)=1,IF(AND(YEAR(SepSun1+13)=CalendarYear,MONTH(SepSun1+13)=9),SepSun1+13,""),IF(AND(YEAR(SepSun1+20)=CalendarYear,MONTH(SepSun1+20)=9),SepSun1+20,""))</f>
        <v>42993</v>
      </c>
      <c r="I53" s="67">
        <f>IF(DAY(SepSun1)=1,IF(AND(YEAR(SepSun1+14)=CalendarYear,MONTH(SepSun1+14)=9),SepSun1+14,""),IF(AND(YEAR(SepSun1+21)=CalendarYear,MONTH(SepSun1+21)=9),SepSun1+21,""))</f>
        <v>42994</v>
      </c>
      <c r="J53" s="68"/>
      <c r="L53" s="67">
        <f>IF(DAY(OctSun1)=1,IF(AND(YEAR(OctSun1+8)=CalendarYear,MONTH(OctSun1+8)=10),OctSun1+8,""),IF(AND(YEAR(OctSun1+15)=CalendarYear,MONTH(OctSun1+15)=10),OctSun1+15,""))</f>
        <v>43023</v>
      </c>
      <c r="M53" s="67">
        <f>IF(DAY(OctSun1)=1,IF(AND(YEAR(OctSun1+9)=CalendarYear,MONTH(OctSun1+9)=10),OctSun1+9,""),IF(AND(YEAR(OctSun1+16)=CalendarYear,MONTH(OctSun1+16)=10),OctSun1+16,""))</f>
        <v>43024</v>
      </c>
      <c r="N53" s="67">
        <f>IF(DAY(OctSun1)=1,IF(AND(YEAR(OctSun1+10)=CalendarYear,MONTH(OctSun1+10)=10),OctSun1+10,""),IF(AND(YEAR(OctSun1+17)=CalendarYear,MONTH(OctSun1+17)=10),OctSun1+17,""))</f>
        <v>43025</v>
      </c>
      <c r="O53" s="67">
        <f>IF(DAY(OctSun1)=1,IF(AND(YEAR(OctSun1+11)=CalendarYear,MONTH(OctSun1+11)=10),OctSun1+11,""),IF(AND(YEAR(OctSun1+18)=CalendarYear,MONTH(OctSun1+18)=10),OctSun1+18,""))</f>
        <v>43026</v>
      </c>
      <c r="P53" s="67">
        <f>IF(DAY(OctSun1)=1,IF(AND(YEAR(OctSun1+12)=CalendarYear,MONTH(OctSun1+12)=10),OctSun1+12,""),IF(AND(YEAR(OctSun1+19)=CalendarYear,MONTH(OctSun1+19)=10),OctSun1+19,""))</f>
        <v>43027</v>
      </c>
      <c r="Q53" s="67">
        <f>IF(DAY(OctSun1)=1,IF(AND(YEAR(OctSun1+13)=CalendarYear,MONTH(OctSun1+13)=10),OctSun1+13,""),IF(AND(YEAR(OctSun1+20)=CalendarYear,MONTH(OctSun1+20)=10),OctSun1+20,""))</f>
        <v>43028</v>
      </c>
      <c r="R53" s="67">
        <f>IF(DAY(OctSun1)=1,IF(AND(YEAR(OctSun1+14)=CalendarYear,MONTH(OctSun1+14)=10),OctSun1+14,""),IF(AND(YEAR(OctSun1+21)=CalendarYear,MONTH(OctSun1+21)=10),OctSun1+21,""))</f>
        <v>43029</v>
      </c>
      <c r="S53" s="68"/>
      <c r="U53" s="67">
        <f>IF(DAY(NovSun1)=1,IF(AND(YEAR(NovSun1+8)=CalendarYear,MONTH(NovSun1+8)=11),NovSun1+8,""),IF(AND(YEAR(NovSun1+15)=CalendarYear,MONTH(NovSun1+15)=11),NovSun1+15,""))</f>
        <v>43051</v>
      </c>
      <c r="V53" s="67">
        <f>IF(DAY(NovSun1)=1,IF(AND(YEAR(NovSun1+9)=CalendarYear,MONTH(NovSun1+9)=11),NovSun1+9,""),IF(AND(YEAR(NovSun1+16)=CalendarYear,MONTH(NovSun1+16)=11),NovSun1+16,""))</f>
        <v>43052</v>
      </c>
      <c r="W53" s="67">
        <f>IF(DAY(NovSun1)=1,IF(AND(YEAR(NovSun1+10)=CalendarYear,MONTH(NovSun1+10)=11),NovSun1+10,""),IF(AND(YEAR(NovSun1+17)=CalendarYear,MONTH(NovSun1+17)=11),NovSun1+17,""))</f>
        <v>43053</v>
      </c>
      <c r="X53" s="67">
        <f>IF(DAY(NovSun1)=1,IF(AND(YEAR(NovSun1+11)=CalendarYear,MONTH(NovSun1+11)=11),NovSun1+11,""),IF(AND(YEAR(NovSun1+18)=CalendarYear,MONTH(NovSun1+18)=11),NovSun1+18,""))</f>
        <v>43054</v>
      </c>
      <c r="Y53" s="67">
        <f>IF(DAY(NovSun1)=1,IF(AND(YEAR(NovSun1+12)=CalendarYear,MONTH(NovSun1+12)=11),NovSun1+12,""),IF(AND(YEAR(NovSun1+19)=CalendarYear,MONTH(NovSun1+19)=11),NovSun1+19,""))</f>
        <v>43055</v>
      </c>
      <c r="Z53" s="67">
        <f>IF(DAY(NovSun1)=1,IF(AND(YEAR(NovSun1+13)=CalendarYear,MONTH(NovSun1+13)=11),NovSun1+13,""),IF(AND(YEAR(NovSun1+20)=CalendarYear,MONTH(NovSun1+20)=11),NovSun1+20,""))</f>
        <v>43056</v>
      </c>
      <c r="AA53" s="67">
        <f>IF(DAY(NovSun1)=1,IF(AND(YEAR(NovSun1+14)=CalendarYear,MONTH(NovSun1+14)=11),NovSun1+14,""),IF(AND(YEAR(NovSun1+21)=CalendarYear,MONTH(NovSun1+21)=11),NovSun1+21,""))</f>
        <v>43057</v>
      </c>
      <c r="AB53" s="68"/>
      <c r="AD53" s="67">
        <f>IF(DAY(DecSun1)=1,IF(AND(YEAR(DecSun1+8)=CalendarYear,MONTH(DecSun1+8)=12),DecSun1+8,""),IF(AND(YEAR(DecSun1+15)=CalendarYear,MONTH(DecSun1+15)=12),DecSun1+15,""))</f>
        <v>43079</v>
      </c>
      <c r="AE53" s="67">
        <f>IF(DAY(DecSun1)=1,IF(AND(YEAR(DecSun1+9)=CalendarYear,MONTH(DecSun1+9)=12),DecSun1+9,""),IF(AND(YEAR(DecSun1+16)=CalendarYear,MONTH(DecSun1+16)=12),DecSun1+16,""))</f>
        <v>43080</v>
      </c>
      <c r="AF53" s="67">
        <f>IF(DAY(DecSun1)=1,IF(AND(YEAR(DecSun1+10)=CalendarYear,MONTH(DecSun1+10)=12),DecSun1+10,""),IF(AND(YEAR(DecSun1+17)=CalendarYear,MONTH(DecSun1+17)=12),DecSun1+17,""))</f>
        <v>43081</v>
      </c>
      <c r="AG53" s="67">
        <f>IF(DAY(DecSun1)=1,IF(AND(YEAR(DecSun1+11)=CalendarYear,MONTH(DecSun1+11)=12),DecSun1+11,""),IF(AND(YEAR(DecSun1+18)=CalendarYear,MONTH(DecSun1+18)=12),DecSun1+18,""))</f>
        <v>43082</v>
      </c>
      <c r="AH53" s="67">
        <f>IF(DAY(DecSun1)=1,IF(AND(YEAR(DecSun1+12)=CalendarYear,MONTH(DecSun1+12)=12),DecSun1+12,""),IF(AND(YEAR(DecSun1+19)=CalendarYear,MONTH(DecSun1+19)=12),DecSun1+19,""))</f>
        <v>43083</v>
      </c>
      <c r="AI53" s="67">
        <f>IF(DAY(DecSun1)=1,IF(AND(YEAR(DecSun1+13)=CalendarYear,MONTH(DecSun1+13)=12),DecSun1+13,""),IF(AND(YEAR(DecSun1+20)=CalendarYear,MONTH(DecSun1+20)=12),DecSun1+20,""))</f>
        <v>43084</v>
      </c>
      <c r="AJ53" s="67">
        <f>IF(DAY(DecSun1)=1,IF(AND(YEAR(DecSun1+14)=CalendarYear,MONTH(DecSun1+14)=12),DecSun1+14,""),IF(AND(YEAR(DecSun1+21)=CalendarYear,MONTH(DecSun1+21)=12),DecSun1+21,""))</f>
        <v>43085</v>
      </c>
    </row>
    <row r="54" spans="3:36" s="69" customFormat="1" ht="30" customHeight="1" x14ac:dyDescent="0.35">
      <c r="C54" s="67">
        <f>IF(DAY(SepSun1)=1,IF(AND(YEAR(SepSun1+15)=CalendarYear,MONTH(SepSun1+15)=9),SepSun1+15,""),IF(AND(YEAR(SepSun1+22)=CalendarYear,MONTH(SepSun1+22)=9),SepSun1+22,""))</f>
        <v>42995</v>
      </c>
      <c r="D54" s="67">
        <f>IF(DAY(SepSun1)=1,IF(AND(YEAR(SepSun1+16)=CalendarYear,MONTH(SepSun1+16)=9),SepSun1+16,""),IF(AND(YEAR(SepSun1+23)=CalendarYear,MONTH(SepSun1+23)=9),SepSun1+23,""))</f>
        <v>42996</v>
      </c>
      <c r="E54" s="67">
        <f>IF(DAY(SepSun1)=1,IF(AND(YEAR(SepSun1+17)=CalendarYear,MONTH(SepSun1+17)=9),SepSun1+17,""),IF(AND(YEAR(SepSun1+24)=CalendarYear,MONTH(SepSun1+24)=9),SepSun1+24,""))</f>
        <v>42997</v>
      </c>
      <c r="F54" s="67">
        <f>IF(DAY(SepSun1)=1,IF(AND(YEAR(SepSun1+18)=CalendarYear,MONTH(SepSun1+18)=9),SepSun1+18,""),IF(AND(YEAR(SepSun1+25)=CalendarYear,MONTH(SepSun1+25)=9),SepSun1+25,""))</f>
        <v>42998</v>
      </c>
      <c r="G54" s="67">
        <f>IF(DAY(SepSun1)=1,IF(AND(YEAR(SepSun1+19)=CalendarYear,MONTH(SepSun1+19)=9),SepSun1+19,""),IF(AND(YEAR(SepSun1+26)=CalendarYear,MONTH(SepSun1+26)=9),SepSun1+26,""))</f>
        <v>42999</v>
      </c>
      <c r="H54" s="67">
        <f>IF(DAY(SepSun1)=1,IF(AND(YEAR(SepSun1+20)=CalendarYear,MONTH(SepSun1+20)=9),SepSun1+20,""),IF(AND(YEAR(SepSun1+27)=CalendarYear,MONTH(SepSun1+27)=9),SepSun1+27,""))</f>
        <v>43000</v>
      </c>
      <c r="I54" s="67">
        <f>IF(DAY(SepSun1)=1,IF(AND(YEAR(SepSun1+21)=CalendarYear,MONTH(SepSun1+21)=9),SepSun1+21,""),IF(AND(YEAR(SepSun1+28)=CalendarYear,MONTH(SepSun1+28)=9),SepSun1+28,""))</f>
        <v>43001</v>
      </c>
      <c r="J54" s="68"/>
      <c r="L54" s="67">
        <f>IF(DAY(OctSun1)=1,IF(AND(YEAR(OctSun1+15)=CalendarYear,MONTH(OctSun1+15)=10),OctSun1+15,""),IF(AND(YEAR(OctSun1+22)=CalendarYear,MONTH(OctSun1+22)=10),OctSun1+22,""))</f>
        <v>43030</v>
      </c>
      <c r="M54" s="67">
        <f>IF(DAY(OctSun1)=1,IF(AND(YEAR(OctSun1+16)=CalendarYear,MONTH(OctSun1+16)=10),OctSun1+16,""),IF(AND(YEAR(OctSun1+23)=CalendarYear,MONTH(OctSun1+23)=10),OctSun1+23,""))</f>
        <v>43031</v>
      </c>
      <c r="N54" s="67">
        <f>IF(DAY(OctSun1)=1,IF(AND(YEAR(OctSun1+17)=CalendarYear,MONTH(OctSun1+17)=10),OctSun1+17,""),IF(AND(YEAR(OctSun1+24)=CalendarYear,MONTH(OctSun1+24)=10),OctSun1+24,""))</f>
        <v>43032</v>
      </c>
      <c r="O54" s="67">
        <f>IF(DAY(OctSun1)=1,IF(AND(YEAR(OctSun1+18)=CalendarYear,MONTH(OctSun1+18)=10),OctSun1+18,""),IF(AND(YEAR(OctSun1+25)=CalendarYear,MONTH(OctSun1+25)=10),OctSun1+25,""))</f>
        <v>43033</v>
      </c>
      <c r="P54" s="67">
        <f>IF(DAY(OctSun1)=1,IF(AND(YEAR(OctSun1+19)=CalendarYear,MONTH(OctSun1+19)=10),OctSun1+19,""),IF(AND(YEAR(OctSun1+26)=CalendarYear,MONTH(OctSun1+26)=10),OctSun1+26,""))</f>
        <v>43034</v>
      </c>
      <c r="Q54" s="67">
        <f>IF(DAY(OctSun1)=1,IF(AND(YEAR(OctSun1+20)=CalendarYear,MONTH(OctSun1+20)=10),OctSun1+20,""),IF(AND(YEAR(OctSun1+27)=CalendarYear,MONTH(OctSun1+27)=10),OctSun1+27,""))</f>
        <v>43035</v>
      </c>
      <c r="R54" s="67">
        <f>IF(DAY(OctSun1)=1,IF(AND(YEAR(OctSun1+21)=CalendarYear,MONTH(OctSun1+21)=10),OctSun1+21,""),IF(AND(YEAR(OctSun1+28)=CalendarYear,MONTH(OctSun1+28)=10),OctSun1+28,""))</f>
        <v>43036</v>
      </c>
      <c r="S54" s="68"/>
      <c r="U54" s="67">
        <f>IF(DAY(NovSun1)=1,IF(AND(YEAR(NovSun1+15)=CalendarYear,MONTH(NovSun1+15)=11),NovSun1+15,""),IF(AND(YEAR(NovSun1+22)=CalendarYear,MONTH(NovSun1+22)=11),NovSun1+22,""))</f>
        <v>43058</v>
      </c>
      <c r="V54" s="67">
        <f>IF(DAY(NovSun1)=1,IF(AND(YEAR(NovSun1+16)=CalendarYear,MONTH(NovSun1+16)=11),NovSun1+16,""),IF(AND(YEAR(NovSun1+23)=CalendarYear,MONTH(NovSun1+23)=11),NovSun1+23,""))</f>
        <v>43059</v>
      </c>
      <c r="W54" s="67">
        <f>IF(DAY(NovSun1)=1,IF(AND(YEAR(NovSun1+17)=CalendarYear,MONTH(NovSun1+17)=11),NovSun1+17,""),IF(AND(YEAR(NovSun1+24)=CalendarYear,MONTH(NovSun1+24)=11),NovSun1+24,""))</f>
        <v>43060</v>
      </c>
      <c r="X54" s="67">
        <f>IF(DAY(NovSun1)=1,IF(AND(YEAR(NovSun1+18)=CalendarYear,MONTH(NovSun1+18)=11),NovSun1+18,""),IF(AND(YEAR(NovSun1+25)=CalendarYear,MONTH(NovSun1+25)=11),NovSun1+25,""))</f>
        <v>43061</v>
      </c>
      <c r="Y54" s="67">
        <f>IF(DAY(NovSun1)=1,IF(AND(YEAR(NovSun1+19)=CalendarYear,MONTH(NovSun1+19)=11),NovSun1+19,""),IF(AND(YEAR(NovSun1+26)=CalendarYear,MONTH(NovSun1+26)=11),NovSun1+26,""))</f>
        <v>43062</v>
      </c>
      <c r="Z54" s="67">
        <f>IF(DAY(NovSun1)=1,IF(AND(YEAR(NovSun1+20)=CalendarYear,MONTH(NovSun1+20)=11),NovSun1+20,""),IF(AND(YEAR(NovSun1+27)=CalendarYear,MONTH(NovSun1+27)=11),NovSun1+27,""))</f>
        <v>43063</v>
      </c>
      <c r="AA54" s="67">
        <f>IF(DAY(NovSun1)=1,IF(AND(YEAR(NovSun1+21)=CalendarYear,MONTH(NovSun1+21)=11),NovSun1+21,""),IF(AND(YEAR(NovSun1+28)=CalendarYear,MONTH(NovSun1+28)=11),NovSun1+28,""))</f>
        <v>43064</v>
      </c>
      <c r="AB54" s="68"/>
      <c r="AD54" s="67">
        <f>IF(DAY(DecSun1)=1,IF(AND(YEAR(DecSun1+15)=CalendarYear,MONTH(DecSun1+15)=12),DecSun1+15,""),IF(AND(YEAR(DecSun1+22)=CalendarYear,MONTH(DecSun1+22)=12),DecSun1+22,""))</f>
        <v>43086</v>
      </c>
      <c r="AE54" s="67">
        <f>IF(DAY(DecSun1)=1,IF(AND(YEAR(DecSun1+16)=CalendarYear,MONTH(DecSun1+16)=12),DecSun1+16,""),IF(AND(YEAR(DecSun1+23)=CalendarYear,MONTH(DecSun1+23)=12),DecSun1+23,""))</f>
        <v>43087</v>
      </c>
      <c r="AF54" s="67">
        <f>IF(DAY(DecSun1)=1,IF(AND(YEAR(DecSun1+17)=CalendarYear,MONTH(DecSun1+17)=12),DecSun1+17,""),IF(AND(YEAR(DecSun1+24)=CalendarYear,MONTH(DecSun1+24)=12),DecSun1+24,""))</f>
        <v>43088</v>
      </c>
      <c r="AG54" s="67">
        <f>IF(DAY(DecSun1)=1,IF(AND(YEAR(DecSun1+18)=CalendarYear,MONTH(DecSun1+18)=12),DecSun1+18,""),IF(AND(YEAR(DecSun1+25)=CalendarYear,MONTH(DecSun1+25)=12),DecSun1+25,""))</f>
        <v>43089</v>
      </c>
      <c r="AH54" s="67">
        <f>IF(DAY(DecSun1)=1,IF(AND(YEAR(DecSun1+19)=CalendarYear,MONTH(DecSun1+19)=12),DecSun1+19,""),IF(AND(YEAR(DecSun1+26)=CalendarYear,MONTH(DecSun1+26)=12),DecSun1+26,""))</f>
        <v>43090</v>
      </c>
      <c r="AI54" s="67">
        <f>IF(DAY(DecSun1)=1,IF(AND(YEAR(DecSun1+20)=CalendarYear,MONTH(DecSun1+20)=12),DecSun1+20,""),IF(AND(YEAR(DecSun1+27)=CalendarYear,MONTH(DecSun1+27)=12),DecSun1+27,""))</f>
        <v>43091</v>
      </c>
      <c r="AJ54" s="67">
        <f>IF(DAY(DecSun1)=1,IF(AND(YEAR(DecSun1+21)=CalendarYear,MONTH(DecSun1+21)=12),DecSun1+21,""),IF(AND(YEAR(DecSun1+28)=CalendarYear,MONTH(DecSun1+28)=12),DecSun1+28,""))</f>
        <v>43092</v>
      </c>
    </row>
    <row r="55" spans="3:36" s="69" customFormat="1" ht="30" customHeight="1" x14ac:dyDescent="0.35">
      <c r="C55" s="67">
        <f>IF(DAY(SepSun1)=1,IF(AND(YEAR(SepSun1+22)=CalendarYear,MONTH(SepSun1+22)=9),SepSun1+22,""),IF(AND(YEAR(SepSun1+29)=CalendarYear,MONTH(SepSun1+29)=9),SepSun1+29,""))</f>
        <v>43002</v>
      </c>
      <c r="D55" s="67">
        <f>IF(DAY(SepSun1)=1,IF(AND(YEAR(SepSun1+23)=CalendarYear,MONTH(SepSun1+23)=9),SepSun1+23,""),IF(AND(YEAR(SepSun1+30)=CalendarYear,MONTH(SepSun1+30)=9),SepSun1+30,""))</f>
        <v>43003</v>
      </c>
      <c r="E55" s="67">
        <f>IF(DAY(SepSun1)=1,IF(AND(YEAR(SepSun1+24)=CalendarYear,MONTH(SepSun1+24)=9),SepSun1+24,""),IF(AND(YEAR(SepSun1+31)=CalendarYear,MONTH(SepSun1+31)=9),SepSun1+31,""))</f>
        <v>43004</v>
      </c>
      <c r="F55" s="67">
        <f>IF(DAY(SepSun1)=1,IF(AND(YEAR(SepSun1+25)=CalendarYear,MONTH(SepSun1+25)=9),SepSun1+25,""),IF(AND(YEAR(SepSun1+32)=CalendarYear,MONTH(SepSun1+32)=9),SepSun1+32,""))</f>
        <v>43005</v>
      </c>
      <c r="G55" s="67">
        <f>IF(DAY(SepSun1)=1,IF(AND(YEAR(SepSun1+26)=CalendarYear,MONTH(SepSun1+26)=9),SepSun1+26,""),IF(AND(YEAR(SepSun1+33)=CalendarYear,MONTH(SepSun1+33)=9),SepSun1+33,""))</f>
        <v>43006</v>
      </c>
      <c r="H55" s="67">
        <f>IF(DAY(SepSun1)=1,IF(AND(YEAR(SepSun1+27)=CalendarYear,MONTH(SepSun1+27)=9),SepSun1+27,""),IF(AND(YEAR(SepSun1+34)=CalendarYear,MONTH(SepSun1+34)=9),SepSun1+34,""))</f>
        <v>43007</v>
      </c>
      <c r="I55" s="67">
        <f>IF(DAY(SepSun1)=1,IF(AND(YEAR(SepSun1+28)=CalendarYear,MONTH(SepSun1+28)=9),SepSun1+28,""),IF(AND(YEAR(SepSun1+35)=CalendarYear,MONTH(SepSun1+35)=9),SepSun1+35,""))</f>
        <v>43008</v>
      </c>
      <c r="J55" s="68"/>
      <c r="L55" s="67">
        <f>IF(DAY(OctSun1)=1,IF(AND(YEAR(OctSun1+22)=CalendarYear,MONTH(OctSun1+22)=10),OctSun1+22,""),IF(AND(YEAR(OctSun1+29)=CalendarYear,MONTH(OctSun1+29)=10),OctSun1+29,""))</f>
        <v>43037</v>
      </c>
      <c r="M55" s="67">
        <f>IF(DAY(OctSun1)=1,IF(AND(YEAR(OctSun1+23)=CalendarYear,MONTH(OctSun1+23)=10),OctSun1+23,""),IF(AND(YEAR(OctSun1+30)=CalendarYear,MONTH(OctSun1+30)=10),OctSun1+30,""))</f>
        <v>43038</v>
      </c>
      <c r="N55" s="67">
        <f>IF(DAY(OctSun1)=1,IF(AND(YEAR(OctSun1+24)=CalendarYear,MONTH(OctSun1+24)=10),OctSun1+24,""),IF(AND(YEAR(OctSun1+31)=CalendarYear,MONTH(OctSun1+31)=10),OctSun1+31,""))</f>
        <v>43039</v>
      </c>
      <c r="O55" s="67" t="str">
        <f>IF(DAY(OctSun1)=1,IF(AND(YEAR(OctSun1+25)=CalendarYear,MONTH(OctSun1+25)=10),OctSun1+25,""),IF(AND(YEAR(OctSun1+32)=CalendarYear,MONTH(OctSun1+32)=10),OctSun1+32,""))</f>
        <v/>
      </c>
      <c r="P55" s="67" t="str">
        <f>IF(DAY(OctSun1)=1,IF(AND(YEAR(OctSun1+26)=CalendarYear,MONTH(OctSun1+26)=10),OctSun1+26,""),IF(AND(YEAR(OctSun1+33)=CalendarYear,MONTH(OctSun1+33)=10),OctSun1+33,""))</f>
        <v/>
      </c>
      <c r="Q55" s="67" t="str">
        <f>IF(DAY(OctSun1)=1,IF(AND(YEAR(OctSun1+27)=CalendarYear,MONTH(OctSun1+27)=10),OctSun1+27,""),IF(AND(YEAR(OctSun1+34)=CalendarYear,MONTH(OctSun1+34)=10),OctSun1+34,""))</f>
        <v/>
      </c>
      <c r="R55" s="67" t="str">
        <f>IF(DAY(OctSun1)=1,IF(AND(YEAR(OctSun1+28)=CalendarYear,MONTH(OctSun1+28)=10),OctSun1+28,""),IF(AND(YEAR(OctSun1+35)=CalendarYear,MONTH(OctSun1+35)=10),OctSun1+35,""))</f>
        <v/>
      </c>
      <c r="S55" s="68"/>
      <c r="U55" s="67">
        <f>IF(DAY(NovSun1)=1,IF(AND(YEAR(NovSun1+22)=CalendarYear,MONTH(NovSun1+22)=11),NovSun1+22,""),IF(AND(YEAR(NovSun1+29)=CalendarYear,MONTH(NovSun1+29)=11),NovSun1+29,""))</f>
        <v>43065</v>
      </c>
      <c r="V55" s="67">
        <f>IF(DAY(NovSun1)=1,IF(AND(YEAR(NovSun1+23)=CalendarYear,MONTH(NovSun1+23)=11),NovSun1+23,""),IF(AND(YEAR(NovSun1+30)=CalendarYear,MONTH(NovSun1+30)=11),NovSun1+30,""))</f>
        <v>43066</v>
      </c>
      <c r="W55" s="67">
        <f>IF(DAY(NovSun1)=1,IF(AND(YEAR(NovSun1+24)=CalendarYear,MONTH(NovSun1+24)=11),NovSun1+24,""),IF(AND(YEAR(NovSun1+31)=CalendarYear,MONTH(NovSun1+31)=11),NovSun1+31,""))</f>
        <v>43067</v>
      </c>
      <c r="X55" s="67">
        <f>IF(DAY(NovSun1)=1,IF(AND(YEAR(NovSun1+25)=CalendarYear,MONTH(NovSun1+25)=11),NovSun1+25,""),IF(AND(YEAR(NovSun1+32)=CalendarYear,MONTH(NovSun1+32)=11),NovSun1+32,""))</f>
        <v>43068</v>
      </c>
      <c r="Y55" s="67">
        <f>IF(DAY(NovSun1)=1,IF(AND(YEAR(NovSun1+26)=CalendarYear,MONTH(NovSun1+26)=11),NovSun1+26,""),IF(AND(YEAR(NovSun1+33)=CalendarYear,MONTH(NovSun1+33)=11),NovSun1+33,""))</f>
        <v>43069</v>
      </c>
      <c r="Z55" s="67" t="str">
        <f>IF(DAY(NovSun1)=1,IF(AND(YEAR(NovSun1+27)=CalendarYear,MONTH(NovSun1+27)=11),NovSun1+27,""),IF(AND(YEAR(NovSun1+34)=CalendarYear,MONTH(NovSun1+34)=11),NovSun1+34,""))</f>
        <v/>
      </c>
      <c r="AA55" s="67" t="str">
        <f>IF(DAY(NovSun1)=1,IF(AND(YEAR(NovSun1+28)=CalendarYear,MONTH(NovSun1+28)=11),NovSun1+28,""),IF(AND(YEAR(NovSun1+35)=CalendarYear,MONTH(NovSun1+35)=11),NovSun1+35,""))</f>
        <v/>
      </c>
      <c r="AB55" s="68"/>
      <c r="AD55" s="67">
        <f>IF(DAY(DecSun1)=1,IF(AND(YEAR(DecSun1+22)=CalendarYear,MONTH(DecSun1+22)=12),DecSun1+22,""),IF(AND(YEAR(DecSun1+29)=CalendarYear,MONTH(DecSun1+29)=12),DecSun1+29,""))</f>
        <v>43093</v>
      </c>
      <c r="AE55" s="67">
        <f>IF(DAY(DecSun1)=1,IF(AND(YEAR(DecSun1+23)=CalendarYear,MONTH(DecSun1+23)=12),DecSun1+23,""),IF(AND(YEAR(DecSun1+30)=CalendarYear,MONTH(DecSun1+30)=12),DecSun1+30,""))</f>
        <v>43094</v>
      </c>
      <c r="AF55" s="67">
        <f>IF(DAY(DecSun1)=1,IF(AND(YEAR(DecSun1+24)=CalendarYear,MONTH(DecSun1+24)=12),DecSun1+24,""),IF(AND(YEAR(DecSun1+31)=CalendarYear,MONTH(DecSun1+31)=12),DecSun1+31,""))</f>
        <v>43095</v>
      </c>
      <c r="AG55" s="67">
        <f>IF(DAY(DecSun1)=1,IF(AND(YEAR(DecSun1+25)=CalendarYear,MONTH(DecSun1+25)=12),DecSun1+25,""),IF(AND(YEAR(DecSun1+32)=CalendarYear,MONTH(DecSun1+32)=12),DecSun1+32,""))</f>
        <v>43096</v>
      </c>
      <c r="AH55" s="67">
        <f>IF(DAY(DecSun1)=1,IF(AND(YEAR(DecSun1+26)=CalendarYear,MONTH(DecSun1+26)=12),DecSun1+26,""),IF(AND(YEAR(DecSun1+33)=CalendarYear,MONTH(DecSun1+33)=12),DecSun1+33,""))</f>
        <v>43097</v>
      </c>
      <c r="AI55" s="67">
        <f>IF(DAY(DecSun1)=1,IF(AND(YEAR(DecSun1+27)=CalendarYear,MONTH(DecSun1+27)=12),DecSun1+27,""),IF(AND(YEAR(DecSun1+34)=CalendarYear,MONTH(DecSun1+34)=12),DecSun1+34,""))</f>
        <v>43098</v>
      </c>
      <c r="AJ55" s="67">
        <f>IF(DAY(DecSun1)=1,IF(AND(YEAR(DecSun1+28)=CalendarYear,MONTH(DecSun1+28)=12),DecSun1+28,""),IF(AND(YEAR(DecSun1+35)=CalendarYear,MONTH(DecSun1+35)=12),DecSun1+35,""))</f>
        <v>43099</v>
      </c>
    </row>
    <row r="56" spans="3:36" s="52" customFormat="1" ht="20.100000000000001" customHeight="1" x14ac:dyDescent="0.3">
      <c r="C56" s="53" t="str">
        <f>IF(DAY(SepSun1)=1,IF(AND(YEAR(SepSun1+29)=CalendarYear,MONTH(SepSun1+29)=9),SepSun1+29,""),IF(AND(YEAR(SepSun1+36)=CalendarYear,MONTH(SepSun1+36)=9),SepSun1+36,""))</f>
        <v/>
      </c>
      <c r="D56" s="53" t="str">
        <f>IF(DAY(SepSun1)=1,IF(AND(YEAR(SepSun1+30)=CalendarYear,MONTH(SepSun1+30)=9),SepSun1+30,""),IF(AND(YEAR(SepSun1+37)=CalendarYear,MONTH(SepSun1+37)=9),SepSun1+37,""))</f>
        <v/>
      </c>
      <c r="E56" s="53" t="str">
        <f>IF(DAY(SepSun1)=1,IF(AND(YEAR(SepSun1+31)=CalendarYear,MONTH(SepSun1+31)=9),SepSun1+31,""),IF(AND(YEAR(SepSun1+38)=CalendarYear,MONTH(SepSun1+38)=9),SepSun1+38,""))</f>
        <v/>
      </c>
      <c r="F56" s="53" t="str">
        <f>IF(DAY(SepSun1)=1,IF(AND(YEAR(SepSun1+32)=CalendarYear,MONTH(SepSun1+32)=9),SepSun1+32,""),IF(AND(YEAR(SepSun1+39)=CalendarYear,MONTH(SepSun1+39)=9),SepSun1+39,""))</f>
        <v/>
      </c>
      <c r="G56" s="53" t="str">
        <f>IF(DAY(SepSun1)=1,IF(AND(YEAR(SepSun1+33)=CalendarYear,MONTH(SepSun1+33)=9),SepSun1+33,""),IF(AND(YEAR(SepSun1+40)=CalendarYear,MONTH(SepSun1+40)=9),SepSun1+40,""))</f>
        <v/>
      </c>
      <c r="H56" s="53" t="str">
        <f>IF(DAY(SepSun1)=1,IF(AND(YEAR(SepSun1+34)=CalendarYear,MONTH(SepSun1+34)=9),SepSun1+34,""),IF(AND(YEAR(SepSun1+41)=CalendarYear,MONTH(SepSun1+41)=9),SepSun1+41,""))</f>
        <v/>
      </c>
      <c r="I56" s="53" t="str">
        <f>IF(DAY(SepSun1)=1,IF(AND(YEAR(SepSun1+35)=CalendarYear,MONTH(SepSun1+35)=9),SepSun1+35,""),IF(AND(YEAR(SepSun1+42)=CalendarYear,MONTH(SepSun1+42)=9),SepSun1+42,""))</f>
        <v/>
      </c>
      <c r="J56" s="54"/>
      <c r="L56" s="53" t="str">
        <f>IF(DAY(OctSun1)=1,IF(AND(YEAR(OctSun1+29)=CalendarYear,MONTH(OctSun1+29)=10),OctSun1+29,""),IF(AND(YEAR(OctSun1+36)=CalendarYear,MONTH(OctSun1+36)=10),OctSun1+36,""))</f>
        <v/>
      </c>
      <c r="M56" s="53" t="str">
        <f>IF(DAY(OctSun1)=1,IF(AND(YEAR(OctSun1+30)=CalendarYear,MONTH(OctSun1+30)=10),OctSun1+30,""),IF(AND(YEAR(OctSun1+37)=CalendarYear,MONTH(OctSun1+37)=10),OctSun1+37,""))</f>
        <v/>
      </c>
      <c r="N56" s="53" t="str">
        <f>IF(DAY(OctSun1)=1,IF(AND(YEAR(OctSun1+31)=CalendarYear,MONTH(OctSun1+31)=10),OctSun1+31,""),IF(AND(YEAR(OctSun1+38)=CalendarYear,MONTH(OctSun1+38)=10),OctSun1+38,""))</f>
        <v/>
      </c>
      <c r="O56" s="53" t="str">
        <f>IF(DAY(OctSun1)=1,IF(AND(YEAR(OctSun1+32)=CalendarYear,MONTH(OctSun1+32)=10),OctSun1+32,""),IF(AND(YEAR(OctSun1+39)=CalendarYear,MONTH(OctSun1+39)=10),OctSun1+39,""))</f>
        <v/>
      </c>
      <c r="P56" s="53" t="str">
        <f>IF(DAY(OctSun1)=1,IF(AND(YEAR(OctSun1+33)=CalendarYear,MONTH(OctSun1+33)=10),OctSun1+33,""),IF(AND(YEAR(OctSun1+40)=CalendarYear,MONTH(OctSun1+40)=10),OctSun1+40,""))</f>
        <v/>
      </c>
      <c r="Q56" s="53" t="str">
        <f>IF(DAY(OctSun1)=1,IF(AND(YEAR(OctSun1+34)=CalendarYear,MONTH(OctSun1+34)=10),OctSun1+34,""),IF(AND(YEAR(OctSun1+41)=CalendarYear,MONTH(OctSun1+41)=10),OctSun1+41,""))</f>
        <v/>
      </c>
      <c r="R56" s="53" t="str">
        <f>IF(DAY(OctSun1)=1,IF(AND(YEAR(OctSun1+35)=CalendarYear,MONTH(OctSun1+35)=10),OctSun1+35,""),IF(AND(YEAR(OctSun1+42)=CalendarYear,MONTH(OctSun1+42)=10),OctSun1+42,""))</f>
        <v/>
      </c>
      <c r="S56" s="54"/>
      <c r="U56" s="53" t="str">
        <f>IF(DAY(NovSun1)=1,IF(AND(YEAR(NovSun1+29)=CalendarYear,MONTH(NovSun1+29)=11),NovSun1+29,""),IF(AND(YEAR(NovSun1+36)=CalendarYear,MONTH(NovSun1+36)=11),NovSun1+36,""))</f>
        <v/>
      </c>
      <c r="V56" s="53" t="str">
        <f>IF(DAY(NovSun1)=1,IF(AND(YEAR(NovSun1+30)=CalendarYear,MONTH(NovSun1+30)=11),NovSun1+30,""),IF(AND(YEAR(NovSun1+37)=CalendarYear,MONTH(NovSun1+37)=11),NovSun1+37,""))</f>
        <v/>
      </c>
      <c r="W56" s="53" t="str">
        <f>IF(DAY(NovSun1)=1,IF(AND(YEAR(NovSun1+31)=CalendarYear,MONTH(NovSun1+31)=11),NovSun1+31,""),IF(AND(YEAR(NovSun1+38)=CalendarYear,MONTH(NovSun1+38)=11),NovSun1+38,""))</f>
        <v/>
      </c>
      <c r="X56" s="53" t="str">
        <f>IF(DAY(NovSun1)=1,IF(AND(YEAR(NovSun1+32)=CalendarYear,MONTH(NovSun1+32)=11),NovSun1+32,""),IF(AND(YEAR(NovSun1+39)=CalendarYear,MONTH(NovSun1+39)=11),NovSun1+39,""))</f>
        <v/>
      </c>
      <c r="Y56" s="53" t="str">
        <f>IF(DAY(NovSun1)=1,IF(AND(YEAR(NovSun1+33)=CalendarYear,MONTH(NovSun1+33)=11),NovSun1+33,""),IF(AND(YEAR(NovSun1+40)=CalendarYear,MONTH(NovSun1+40)=11),NovSun1+40,""))</f>
        <v/>
      </c>
      <c r="Z56" s="53" t="str">
        <f>IF(DAY(NovSun1)=1,IF(AND(YEAR(NovSun1+34)=CalendarYear,MONTH(NovSun1+34)=11),NovSun1+34,""),IF(AND(YEAR(NovSun1+41)=CalendarYear,MONTH(NovSun1+41)=11),NovSun1+41,""))</f>
        <v/>
      </c>
      <c r="AA56" s="53" t="str">
        <f>IF(DAY(NovSun1)=1,IF(AND(YEAR(NovSun1+35)=CalendarYear,MONTH(NovSun1+35)=11),NovSun1+35,""),IF(AND(YEAR(NovSun1+42)=CalendarYear,MONTH(NovSun1+42)=11),NovSun1+42,""))</f>
        <v/>
      </c>
      <c r="AB56" s="54"/>
      <c r="AD56" s="53">
        <f>IF(DAY(DecSun1)=1,IF(AND(YEAR(DecSun1+29)=CalendarYear,MONTH(DecSun1+29)=12),DecSun1+29,""),IF(AND(YEAR(DecSun1+36)=CalendarYear,MONTH(DecSun1+36)=12),DecSun1+36,""))</f>
        <v>43100</v>
      </c>
      <c r="AE56" s="53" t="str">
        <f>IF(DAY(DecSun1)=1,IF(AND(YEAR(DecSun1+30)=CalendarYear,MONTH(DecSun1+30)=12),DecSun1+30,""),IF(AND(YEAR(DecSun1+37)=CalendarYear,MONTH(DecSun1+37)=12),DecSun1+37,""))</f>
        <v/>
      </c>
      <c r="AF56" s="53" t="str">
        <f>IF(DAY(DecSun1)=1,IF(AND(YEAR(DecSun1+31)=CalendarYear,MONTH(DecSun1+31)=12),DecSun1+31,""),IF(AND(YEAR(DecSun1+38)=CalendarYear,MONTH(DecSun1+38)=12),DecSun1+38,""))</f>
        <v/>
      </c>
      <c r="AG56" s="53" t="str">
        <f>IF(DAY(DecSun1)=1,IF(AND(YEAR(DecSun1+32)=CalendarYear,MONTH(DecSun1+32)=12),DecSun1+32,""),IF(AND(YEAR(DecSun1+39)=CalendarYear,MONTH(DecSun1+39)=12),DecSun1+39,""))</f>
        <v/>
      </c>
      <c r="AH56" s="53" t="str">
        <f>IF(DAY(DecSun1)=1,IF(AND(YEAR(DecSun1+33)=CalendarYear,MONTH(DecSun1+33)=12),DecSun1+33,""),IF(AND(YEAR(DecSun1+40)=CalendarYear,MONTH(DecSun1+40)=12),DecSun1+40,""))</f>
        <v/>
      </c>
      <c r="AI56" s="53" t="str">
        <f>IF(DAY(DecSun1)=1,IF(AND(YEAR(DecSun1+34)=CalendarYear,MONTH(DecSun1+34)=12),DecSun1+34,""),IF(AND(YEAR(DecSun1+41)=CalendarYear,MONTH(DecSun1+41)=12),DecSun1+41,""))</f>
        <v/>
      </c>
      <c r="AJ56" s="53" t="str">
        <f>IF(DAY(DecSun1)=1,IF(AND(YEAR(DecSun1+35)=CalendarYear,MONTH(DecSun1+35)=12),DecSun1+35,""),IF(AND(YEAR(DecSun1+42)=CalendarYear,MONTH(DecSun1+42)=12),DecSun1+42,""))</f>
        <v/>
      </c>
    </row>
    <row r="57" spans="3:36" x14ac:dyDescent="0.2">
      <c r="C57" s="3"/>
      <c r="D57" s="3"/>
      <c r="E57" s="3"/>
      <c r="F57" s="3"/>
      <c r="G57" s="3"/>
      <c r="H57" s="3"/>
      <c r="I57" s="3"/>
      <c r="J57" s="3"/>
      <c r="K57" s="2"/>
      <c r="L57" s="2"/>
      <c r="M57" s="2"/>
      <c r="N57" s="2"/>
      <c r="O57" s="2"/>
      <c r="P57" s="2"/>
      <c r="Q57" s="2"/>
      <c r="R57" s="2"/>
      <c r="S57" s="2"/>
    </row>
  </sheetData>
  <mergeCells count="62">
    <mergeCell ref="C28:AK28"/>
    <mergeCell ref="C49:I49"/>
    <mergeCell ref="L49:R49"/>
    <mergeCell ref="U49:AA49"/>
    <mergeCell ref="AD49:AJ49"/>
    <mergeCell ref="C31:I31"/>
    <mergeCell ref="L31:R31"/>
    <mergeCell ref="U31:AA31"/>
    <mergeCell ref="AD31:AJ31"/>
    <mergeCell ref="C40:I40"/>
    <mergeCell ref="L40:R40"/>
    <mergeCell ref="U40:AA40"/>
    <mergeCell ref="AD40:AJ40"/>
    <mergeCell ref="D22:E22"/>
    <mergeCell ref="D21:E21"/>
    <mergeCell ref="H10:Q10"/>
    <mergeCell ref="H11:Q11"/>
    <mergeCell ref="H12:Q12"/>
    <mergeCell ref="H13:Q13"/>
    <mergeCell ref="H14:Q14"/>
    <mergeCell ref="D11:G11"/>
    <mergeCell ref="D12:G12"/>
    <mergeCell ref="D13:G13"/>
    <mergeCell ref="D14:G14"/>
    <mergeCell ref="D15:G15"/>
    <mergeCell ref="H15:Q15"/>
    <mergeCell ref="H16:Q16"/>
    <mergeCell ref="D16:G16"/>
    <mergeCell ref="D6:G6"/>
    <mergeCell ref="D7:G7"/>
    <mergeCell ref="D8:G8"/>
    <mergeCell ref="D9:G9"/>
    <mergeCell ref="D10:G10"/>
    <mergeCell ref="H6:Q6"/>
    <mergeCell ref="H7:Q7"/>
    <mergeCell ref="H8:Q8"/>
    <mergeCell ref="H9:Q9"/>
    <mergeCell ref="U18:AI18"/>
    <mergeCell ref="D17:G17"/>
    <mergeCell ref="D18:G18"/>
    <mergeCell ref="D19:G19"/>
    <mergeCell ref="D20:G20"/>
    <mergeCell ref="U13:AI13"/>
    <mergeCell ref="U14:AI14"/>
    <mergeCell ref="U15:AI15"/>
    <mergeCell ref="U16:AI16"/>
    <mergeCell ref="U17:AI17"/>
    <mergeCell ref="D3:AD3"/>
    <mergeCell ref="AE3:AI3"/>
    <mergeCell ref="U19:AI19"/>
    <mergeCell ref="U20:AI20"/>
    <mergeCell ref="H17:Q17"/>
    <mergeCell ref="H18:Q18"/>
    <mergeCell ref="H19:Q19"/>
    <mergeCell ref="H20:Q20"/>
    <mergeCell ref="U6:AI6"/>
    <mergeCell ref="U7:AI7"/>
    <mergeCell ref="U8:AI8"/>
    <mergeCell ref="U9:AI9"/>
    <mergeCell ref="U10:AI10"/>
    <mergeCell ref="U11:AI11"/>
    <mergeCell ref="U12:AI12"/>
  </mergeCells>
  <conditionalFormatting sqref="C33:I38 L33:R38 U33:AA38 AD33:AJ38 C42:I47 L42:R47 U42:AA47 AD42:AJ47 C51:I56 L51:R56 U51:AA56 AD51:AJ56">
    <cfRule type="expression" dxfId="0" priority="1">
      <formula>VLOOKUP(C33,ImportantDates,1,FALSE)=C33</formula>
    </cfRule>
  </conditionalFormatting>
  <printOptions horizontalCentered="1"/>
  <pageMargins left="0.75" right="0.75" top="0.75" bottom="0.75" header="0.3" footer="0.3"/>
  <pageSetup paperSize="6" scale="27" fitToHeight="0" orientation="portrait" r:id="rId1"/>
  <colBreaks count="1" manualBreakCount="1">
    <brk id="19" min="22" max="56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">
              <controlPr defaultSize="0" print="0" autoPict="0" altText="Use the spinner button to change calendar year or change the year in cell AF3.">
                <anchor moveWithCells="1">
                  <from>
                    <xdr:col>34</xdr:col>
                    <xdr:colOff>200025</xdr:colOff>
                    <xdr:row>2</xdr:row>
                    <xdr:rowOff>85725</xdr:rowOff>
                  </from>
                  <to>
                    <xdr:col>34</xdr:col>
                    <xdr:colOff>352425</xdr:colOff>
                    <xdr:row>2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03"/>
  <sheetViews>
    <sheetView topLeftCell="A64" workbookViewId="0">
      <selection activeCell="D214" sqref="D214"/>
    </sheetView>
  </sheetViews>
  <sheetFormatPr defaultRowHeight="12.75" x14ac:dyDescent="0.2"/>
  <cols>
    <col min="2" max="2" width="16" customWidth="1"/>
    <col min="3" max="3" width="33.42578125" style="49" bestFit="1" customWidth="1"/>
    <col min="4" max="4" width="17" customWidth="1"/>
  </cols>
  <sheetData>
    <row r="1" spans="1:5" ht="46.5" customHeight="1" thickBot="1" x14ac:dyDescent="0.25">
      <c r="A1" s="83" t="s">
        <v>10</v>
      </c>
      <c r="B1" s="83" t="s">
        <v>11</v>
      </c>
      <c r="C1" s="50" t="s">
        <v>12</v>
      </c>
      <c r="D1" s="83" t="s">
        <v>13</v>
      </c>
      <c r="E1" s="83" t="s">
        <v>14</v>
      </c>
    </row>
    <row r="2" spans="1:5" ht="13.5" hidden="1" customHeight="1" thickBot="1" x14ac:dyDescent="0.25">
      <c r="A2" s="84"/>
      <c r="B2" s="84"/>
      <c r="C2" s="51"/>
      <c r="D2" s="84"/>
      <c r="E2" s="84"/>
    </row>
    <row r="3" spans="1:5" ht="15.75" hidden="1" thickBot="1" x14ac:dyDescent="0.25">
      <c r="A3" s="34">
        <v>42005</v>
      </c>
      <c r="B3" s="25" t="s">
        <v>15</v>
      </c>
      <c r="C3" s="46" t="s">
        <v>0</v>
      </c>
      <c r="D3" s="27" t="s">
        <v>16</v>
      </c>
      <c r="E3" s="35"/>
    </row>
    <row r="4" spans="1:5" ht="51.75" hidden="1" customHeight="1" thickBot="1" x14ac:dyDescent="0.25">
      <c r="A4" s="36">
        <v>42007</v>
      </c>
      <c r="B4" s="28" t="s">
        <v>17</v>
      </c>
      <c r="C4" s="29" t="s">
        <v>18</v>
      </c>
      <c r="D4" s="30" t="s">
        <v>19</v>
      </c>
      <c r="E4" s="37"/>
    </row>
    <row r="5" spans="1:5" ht="29.25" hidden="1" customHeight="1" thickBot="1" x14ac:dyDescent="0.25">
      <c r="A5" s="38">
        <v>42010</v>
      </c>
      <c r="B5" s="31" t="s">
        <v>20</v>
      </c>
      <c r="C5" s="32" t="s">
        <v>21</v>
      </c>
      <c r="D5" s="33" t="s">
        <v>22</v>
      </c>
      <c r="E5" s="39"/>
    </row>
    <row r="6" spans="1:5" ht="51.75" hidden="1" customHeight="1" thickBot="1" x14ac:dyDescent="0.25">
      <c r="A6" s="40">
        <v>42011</v>
      </c>
      <c r="B6" s="28" t="s">
        <v>23</v>
      </c>
      <c r="C6" s="29" t="s">
        <v>24</v>
      </c>
      <c r="D6" s="30" t="s">
        <v>25</v>
      </c>
      <c r="E6" s="37"/>
    </row>
    <row r="7" spans="1:5" ht="51.75" customHeight="1" thickBot="1" x14ac:dyDescent="0.25">
      <c r="A7" s="34">
        <v>42017</v>
      </c>
      <c r="B7" s="25" t="s">
        <v>20</v>
      </c>
      <c r="C7" s="26" t="s">
        <v>26</v>
      </c>
      <c r="D7" s="27" t="s">
        <v>27</v>
      </c>
      <c r="E7" s="35"/>
    </row>
    <row r="8" spans="1:5" ht="39" hidden="1" customHeight="1" thickBot="1" x14ac:dyDescent="0.25">
      <c r="A8" s="36">
        <v>42018</v>
      </c>
      <c r="B8" s="28" t="s">
        <v>23</v>
      </c>
      <c r="C8" s="29" t="s">
        <v>28</v>
      </c>
      <c r="D8" s="30" t="s">
        <v>25</v>
      </c>
      <c r="E8" s="37"/>
    </row>
    <row r="9" spans="1:5" ht="39" hidden="1" customHeight="1" thickBot="1" x14ac:dyDescent="0.25">
      <c r="A9" s="34">
        <v>42020</v>
      </c>
      <c r="B9" s="25" t="s">
        <v>29</v>
      </c>
      <c r="C9" s="26" t="s">
        <v>30</v>
      </c>
      <c r="D9" s="27" t="s">
        <v>31</v>
      </c>
      <c r="E9" s="35" t="s">
        <v>32</v>
      </c>
    </row>
    <row r="10" spans="1:5" ht="15.75" hidden="1" thickBot="1" x14ac:dyDescent="0.25">
      <c r="A10" s="40">
        <v>42023</v>
      </c>
      <c r="B10" s="28" t="s">
        <v>33</v>
      </c>
      <c r="C10" s="47" t="s">
        <v>34</v>
      </c>
      <c r="D10" s="30" t="s">
        <v>16</v>
      </c>
      <c r="E10" s="37"/>
    </row>
    <row r="11" spans="1:5" ht="39" hidden="1" customHeight="1" thickBot="1" x14ac:dyDescent="0.25">
      <c r="A11" s="38">
        <v>42023</v>
      </c>
      <c r="B11" s="31" t="s">
        <v>33</v>
      </c>
      <c r="C11" s="32" t="s">
        <v>35</v>
      </c>
      <c r="D11" s="33" t="s">
        <v>31</v>
      </c>
      <c r="E11" s="39" t="s">
        <v>36</v>
      </c>
    </row>
    <row r="12" spans="1:5" ht="39" hidden="1" customHeight="1" thickBot="1" x14ac:dyDescent="0.25">
      <c r="A12" s="40">
        <v>42023</v>
      </c>
      <c r="B12" s="28" t="s">
        <v>33</v>
      </c>
      <c r="C12" s="29" t="s">
        <v>35</v>
      </c>
      <c r="D12" s="30" t="s">
        <v>31</v>
      </c>
      <c r="E12" s="37" t="s">
        <v>37</v>
      </c>
    </row>
    <row r="13" spans="1:5" ht="51.75" hidden="1" customHeight="1" thickBot="1" x14ac:dyDescent="0.25">
      <c r="A13" s="38">
        <v>42023</v>
      </c>
      <c r="B13" s="31" t="s">
        <v>33</v>
      </c>
      <c r="C13" s="32" t="s">
        <v>38</v>
      </c>
      <c r="D13" s="33" t="s">
        <v>31</v>
      </c>
      <c r="E13" s="39" t="s">
        <v>39</v>
      </c>
    </row>
    <row r="14" spans="1:5" ht="51.75" hidden="1" customHeight="1" thickBot="1" x14ac:dyDescent="0.25">
      <c r="A14" s="40">
        <v>42023</v>
      </c>
      <c r="B14" s="28" t="s">
        <v>33</v>
      </c>
      <c r="C14" s="29" t="s">
        <v>40</v>
      </c>
      <c r="D14" s="30" t="s">
        <v>31</v>
      </c>
      <c r="E14" s="37" t="s">
        <v>41</v>
      </c>
    </row>
    <row r="15" spans="1:5" ht="57.75" hidden="1" customHeight="1" thickBot="1" x14ac:dyDescent="0.25">
      <c r="A15" s="38">
        <v>42023</v>
      </c>
      <c r="B15" s="31" t="s">
        <v>33</v>
      </c>
      <c r="C15" s="32" t="s">
        <v>42</v>
      </c>
      <c r="D15" s="33" t="s">
        <v>31</v>
      </c>
      <c r="E15" s="39" t="s">
        <v>43</v>
      </c>
    </row>
    <row r="16" spans="1:5" ht="29.25" customHeight="1" thickBot="1" x14ac:dyDescent="0.25">
      <c r="A16" s="36">
        <v>42033</v>
      </c>
      <c r="B16" s="28" t="s">
        <v>15</v>
      </c>
      <c r="C16" s="29" t="s">
        <v>44</v>
      </c>
      <c r="D16" s="30" t="s">
        <v>27</v>
      </c>
      <c r="E16" s="37"/>
    </row>
    <row r="17" spans="1:5" ht="39" customHeight="1" thickBot="1" x14ac:dyDescent="0.25">
      <c r="A17" s="38">
        <v>42036</v>
      </c>
      <c r="B17" s="31" t="s">
        <v>45</v>
      </c>
      <c r="C17" s="32" t="s">
        <v>46</v>
      </c>
      <c r="D17" s="33" t="s">
        <v>27</v>
      </c>
      <c r="E17" s="39"/>
    </row>
    <row r="18" spans="1:5" ht="29.25" customHeight="1" thickBot="1" x14ac:dyDescent="0.25">
      <c r="A18" s="36">
        <v>42037</v>
      </c>
      <c r="B18" s="28" t="s">
        <v>33</v>
      </c>
      <c r="C18" s="29" t="s">
        <v>47</v>
      </c>
      <c r="D18" s="30" t="s">
        <v>27</v>
      </c>
      <c r="E18" s="37"/>
    </row>
    <row r="19" spans="1:5" ht="51.75" hidden="1" customHeight="1" thickBot="1" x14ac:dyDescent="0.25">
      <c r="A19" s="34">
        <v>42039</v>
      </c>
      <c r="B19" s="25" t="s">
        <v>23</v>
      </c>
      <c r="C19" s="26" t="s">
        <v>48</v>
      </c>
      <c r="D19" s="27" t="s">
        <v>49</v>
      </c>
      <c r="E19" s="35"/>
    </row>
    <row r="20" spans="1:5" ht="43.5" hidden="1" customHeight="1" thickBot="1" x14ac:dyDescent="0.25">
      <c r="A20" s="40">
        <v>42039</v>
      </c>
      <c r="B20" s="28" t="s">
        <v>23</v>
      </c>
      <c r="C20" s="29" t="s">
        <v>50</v>
      </c>
      <c r="D20" s="30" t="s">
        <v>51</v>
      </c>
      <c r="E20" s="37" t="s">
        <v>52</v>
      </c>
    </row>
    <row r="21" spans="1:5" ht="39" customHeight="1" thickBot="1" x14ac:dyDescent="0.25">
      <c r="A21" s="34">
        <v>42041</v>
      </c>
      <c r="B21" s="25" t="s">
        <v>29</v>
      </c>
      <c r="C21" s="26" t="s">
        <v>53</v>
      </c>
      <c r="D21" s="27" t="s">
        <v>27</v>
      </c>
      <c r="E21" s="35"/>
    </row>
    <row r="22" spans="1:5" ht="43.5" hidden="1" customHeight="1" thickBot="1" x14ac:dyDescent="0.25">
      <c r="A22" s="36">
        <v>42047</v>
      </c>
      <c r="B22" s="28" t="s">
        <v>15</v>
      </c>
      <c r="C22" s="29" t="s">
        <v>54</v>
      </c>
      <c r="D22" s="30" t="s">
        <v>31</v>
      </c>
      <c r="E22" s="37" t="s">
        <v>55</v>
      </c>
    </row>
    <row r="23" spans="1:5" ht="43.5" hidden="1" customHeight="1" thickBot="1" x14ac:dyDescent="0.25">
      <c r="A23" s="34">
        <v>42047</v>
      </c>
      <c r="B23" s="25" t="s">
        <v>15</v>
      </c>
      <c r="C23" s="26" t="s">
        <v>54</v>
      </c>
      <c r="D23" s="27" t="s">
        <v>51</v>
      </c>
      <c r="E23" s="35" t="s">
        <v>37</v>
      </c>
    </row>
    <row r="24" spans="1:5" ht="29.25" customHeight="1" thickBot="1" x14ac:dyDescent="0.25">
      <c r="A24" s="36">
        <v>42049</v>
      </c>
      <c r="B24" s="28" t="s">
        <v>17</v>
      </c>
      <c r="C24" s="29" t="s">
        <v>56</v>
      </c>
      <c r="D24" s="30" t="s">
        <v>27</v>
      </c>
      <c r="E24" s="37"/>
    </row>
    <row r="25" spans="1:5" ht="51.75" hidden="1" customHeight="1" thickBot="1" x14ac:dyDescent="0.25">
      <c r="A25" s="34">
        <v>42050</v>
      </c>
      <c r="B25" s="25" t="s">
        <v>45</v>
      </c>
      <c r="C25" s="26" t="s">
        <v>57</v>
      </c>
      <c r="D25" s="27" t="s">
        <v>51</v>
      </c>
      <c r="E25" s="35" t="s">
        <v>58</v>
      </c>
    </row>
    <row r="26" spans="1:5" ht="15.75" hidden="1" thickBot="1" x14ac:dyDescent="0.25">
      <c r="A26" s="36">
        <v>42051</v>
      </c>
      <c r="B26" s="28" t="s">
        <v>33</v>
      </c>
      <c r="C26" s="47" t="s">
        <v>59</v>
      </c>
      <c r="D26" s="30" t="s">
        <v>16</v>
      </c>
      <c r="E26" s="37"/>
    </row>
    <row r="27" spans="1:5" ht="51.75" hidden="1" customHeight="1" thickBot="1" x14ac:dyDescent="0.25">
      <c r="A27" s="34">
        <v>42051</v>
      </c>
      <c r="B27" s="25" t="s">
        <v>33</v>
      </c>
      <c r="C27" s="26" t="s">
        <v>60</v>
      </c>
      <c r="D27" s="27" t="s">
        <v>31</v>
      </c>
      <c r="E27" s="35" t="s">
        <v>61</v>
      </c>
    </row>
    <row r="28" spans="1:5" ht="57.75" hidden="1" customHeight="1" thickBot="1" x14ac:dyDescent="0.25">
      <c r="A28" s="36">
        <v>42052</v>
      </c>
      <c r="B28" s="28" t="s">
        <v>20</v>
      </c>
      <c r="C28" s="29" t="s">
        <v>62</v>
      </c>
      <c r="D28" s="30" t="s">
        <v>31</v>
      </c>
      <c r="E28" s="37" t="s">
        <v>63</v>
      </c>
    </row>
    <row r="29" spans="1:5" ht="51.75" customHeight="1" thickBot="1" x14ac:dyDescent="0.25">
      <c r="A29" s="34">
        <v>42052</v>
      </c>
      <c r="B29" s="25" t="s">
        <v>20</v>
      </c>
      <c r="C29" s="26" t="s">
        <v>62</v>
      </c>
      <c r="D29" s="27" t="s">
        <v>27</v>
      </c>
      <c r="E29" s="35"/>
    </row>
    <row r="30" spans="1:5" ht="51.75" hidden="1" customHeight="1" thickBot="1" x14ac:dyDescent="0.25">
      <c r="A30" s="36">
        <v>42052</v>
      </c>
      <c r="B30" s="28" t="s">
        <v>20</v>
      </c>
      <c r="C30" s="29" t="s">
        <v>62</v>
      </c>
      <c r="D30" s="30" t="s">
        <v>51</v>
      </c>
      <c r="E30" s="37" t="s">
        <v>37</v>
      </c>
    </row>
    <row r="31" spans="1:5" ht="39" hidden="1" customHeight="1" thickBot="1" x14ac:dyDescent="0.25">
      <c r="A31" s="34">
        <v>42053</v>
      </c>
      <c r="B31" s="25" t="s">
        <v>23</v>
      </c>
      <c r="C31" s="26" t="s">
        <v>64</v>
      </c>
      <c r="D31" s="27" t="s">
        <v>22</v>
      </c>
      <c r="E31" s="35"/>
    </row>
    <row r="32" spans="1:5" ht="39" customHeight="1" thickBot="1" x14ac:dyDescent="0.25">
      <c r="A32" s="36">
        <v>42054</v>
      </c>
      <c r="B32" s="28" t="s">
        <v>15</v>
      </c>
      <c r="C32" s="29" t="s">
        <v>65</v>
      </c>
      <c r="D32" s="30" t="s">
        <v>27</v>
      </c>
      <c r="E32" s="37"/>
    </row>
    <row r="33" spans="1:5" ht="39" customHeight="1" thickBot="1" x14ac:dyDescent="0.25">
      <c r="A33" s="34">
        <v>42064</v>
      </c>
      <c r="B33" s="25" t="s">
        <v>45</v>
      </c>
      <c r="C33" s="26" t="s">
        <v>66</v>
      </c>
      <c r="D33" s="27" t="s">
        <v>27</v>
      </c>
      <c r="E33" s="35"/>
    </row>
    <row r="34" spans="1:5" ht="51.75" hidden="1" customHeight="1" thickBot="1" x14ac:dyDescent="0.25">
      <c r="A34" s="36">
        <v>42065</v>
      </c>
      <c r="B34" s="28" t="s">
        <v>33</v>
      </c>
      <c r="C34" s="29" t="s">
        <v>67</v>
      </c>
      <c r="D34" s="30" t="s">
        <v>31</v>
      </c>
      <c r="E34" s="37" t="s">
        <v>39</v>
      </c>
    </row>
    <row r="35" spans="1:5" ht="39" hidden="1" customHeight="1" thickBot="1" x14ac:dyDescent="0.25">
      <c r="A35" s="34">
        <v>42065</v>
      </c>
      <c r="B35" s="25" t="s">
        <v>33</v>
      </c>
      <c r="C35" s="26" t="s">
        <v>68</v>
      </c>
      <c r="D35" s="27" t="s">
        <v>31</v>
      </c>
      <c r="E35" s="35" t="s">
        <v>69</v>
      </c>
    </row>
    <row r="36" spans="1:5" ht="51.75" customHeight="1" thickBot="1" x14ac:dyDescent="0.25">
      <c r="A36" s="36">
        <v>42065</v>
      </c>
      <c r="B36" s="28" t="s">
        <v>33</v>
      </c>
      <c r="C36" s="29" t="s">
        <v>70</v>
      </c>
      <c r="D36" s="30" t="s">
        <v>27</v>
      </c>
      <c r="E36" s="37"/>
    </row>
    <row r="37" spans="1:5" ht="51.75" hidden="1" customHeight="1" thickBot="1" x14ac:dyDescent="0.25">
      <c r="A37" s="38">
        <v>42066</v>
      </c>
      <c r="B37" s="31" t="s">
        <v>20</v>
      </c>
      <c r="C37" s="32" t="s">
        <v>71</v>
      </c>
      <c r="D37" s="33" t="s">
        <v>31</v>
      </c>
      <c r="E37" s="39"/>
    </row>
    <row r="38" spans="1:5" ht="29.25" hidden="1" customHeight="1" thickBot="1" x14ac:dyDescent="0.25">
      <c r="A38" s="40">
        <v>42068</v>
      </c>
      <c r="B38" s="28" t="s">
        <v>15</v>
      </c>
      <c r="C38" s="29" t="s">
        <v>72</v>
      </c>
      <c r="D38" s="30" t="s">
        <v>49</v>
      </c>
      <c r="E38" s="37"/>
    </row>
    <row r="39" spans="1:5" ht="64.5" customHeight="1" thickBot="1" x14ac:dyDescent="0.25">
      <c r="A39" s="38">
        <v>42069</v>
      </c>
      <c r="B39" s="31" t="s">
        <v>29</v>
      </c>
      <c r="C39" s="32" t="s">
        <v>73</v>
      </c>
      <c r="D39" s="33" t="s">
        <v>27</v>
      </c>
      <c r="E39" s="39"/>
    </row>
    <row r="40" spans="1:5" ht="86.25" hidden="1" customHeight="1" thickBot="1" x14ac:dyDescent="0.25">
      <c r="A40" s="40">
        <v>42071</v>
      </c>
      <c r="B40" s="28" t="s">
        <v>45</v>
      </c>
      <c r="C40" s="29" t="s">
        <v>74</v>
      </c>
      <c r="D40" s="30" t="s">
        <v>75</v>
      </c>
      <c r="E40" s="37"/>
    </row>
    <row r="41" spans="1:5" ht="39" customHeight="1" thickBot="1" x14ac:dyDescent="0.25">
      <c r="A41" s="38">
        <v>42080</v>
      </c>
      <c r="B41" s="31" t="s">
        <v>20</v>
      </c>
      <c r="C41" s="32" t="s">
        <v>76</v>
      </c>
      <c r="D41" s="33" t="s">
        <v>27</v>
      </c>
      <c r="E41" s="39"/>
    </row>
    <row r="42" spans="1:5" ht="43.5" hidden="1" customHeight="1" thickBot="1" x14ac:dyDescent="0.25">
      <c r="A42" s="40">
        <v>42080</v>
      </c>
      <c r="B42" s="28" t="s">
        <v>20</v>
      </c>
      <c r="C42" s="29" t="s">
        <v>77</v>
      </c>
      <c r="D42" s="30" t="s">
        <v>31</v>
      </c>
      <c r="E42" s="37" t="s">
        <v>78</v>
      </c>
    </row>
    <row r="43" spans="1:5" ht="29.25" hidden="1" customHeight="1" thickBot="1" x14ac:dyDescent="0.25">
      <c r="A43" s="38">
        <v>42083</v>
      </c>
      <c r="B43" s="31" t="s">
        <v>29</v>
      </c>
      <c r="C43" s="32" t="s">
        <v>79</v>
      </c>
      <c r="D43" s="33" t="s">
        <v>80</v>
      </c>
      <c r="E43" s="39"/>
    </row>
    <row r="44" spans="1:5" ht="43.5" hidden="1" customHeight="1" thickBot="1" x14ac:dyDescent="0.25">
      <c r="A44" s="40">
        <v>42088</v>
      </c>
      <c r="B44" s="28" t="s">
        <v>23</v>
      </c>
      <c r="C44" s="29" t="s">
        <v>81</v>
      </c>
      <c r="D44" s="30" t="s">
        <v>51</v>
      </c>
      <c r="E44" s="37" t="s">
        <v>82</v>
      </c>
    </row>
    <row r="45" spans="1:5" ht="77.25" hidden="1" customHeight="1" thickBot="1" x14ac:dyDescent="0.25">
      <c r="A45" s="38">
        <v>42089</v>
      </c>
      <c r="B45" s="31" t="s">
        <v>15</v>
      </c>
      <c r="C45" s="32" t="s">
        <v>83</v>
      </c>
      <c r="D45" s="33" t="s">
        <v>31</v>
      </c>
      <c r="E45" s="39" t="s">
        <v>84</v>
      </c>
    </row>
    <row r="46" spans="1:5" ht="29.25" hidden="1" customHeight="1" thickBot="1" x14ac:dyDescent="0.25">
      <c r="A46" s="36">
        <v>42092</v>
      </c>
      <c r="B46" s="28" t="s">
        <v>45</v>
      </c>
      <c r="C46" s="29" t="s">
        <v>85</v>
      </c>
      <c r="D46" s="30" t="s">
        <v>22</v>
      </c>
      <c r="E46" s="37"/>
    </row>
    <row r="47" spans="1:5" ht="29.25" hidden="1" customHeight="1" thickBot="1" x14ac:dyDescent="0.25">
      <c r="A47" s="34">
        <v>42093</v>
      </c>
      <c r="B47" s="25" t="s">
        <v>33</v>
      </c>
      <c r="C47" s="26" t="s">
        <v>86</v>
      </c>
      <c r="D47" s="27" t="s">
        <v>31</v>
      </c>
      <c r="E47" s="35" t="s">
        <v>87</v>
      </c>
    </row>
    <row r="48" spans="1:5" ht="43.5" hidden="1" customHeight="1" thickBot="1" x14ac:dyDescent="0.25">
      <c r="A48" s="36">
        <v>42094</v>
      </c>
      <c r="B48" s="28" t="s">
        <v>20</v>
      </c>
      <c r="C48" s="29" t="s">
        <v>88</v>
      </c>
      <c r="D48" s="30" t="s">
        <v>31</v>
      </c>
      <c r="E48" s="37" t="s">
        <v>89</v>
      </c>
    </row>
    <row r="49" spans="1:5" ht="39" hidden="1" customHeight="1" thickBot="1" x14ac:dyDescent="0.25">
      <c r="A49" s="38">
        <v>42096</v>
      </c>
      <c r="B49" s="31" t="s">
        <v>15</v>
      </c>
      <c r="C49" s="32" t="s">
        <v>90</v>
      </c>
      <c r="D49" s="33" t="s">
        <v>22</v>
      </c>
      <c r="E49" s="39"/>
    </row>
    <row r="50" spans="1:5" ht="43.5" hidden="1" customHeight="1" thickBot="1" x14ac:dyDescent="0.25">
      <c r="A50" s="36">
        <v>42096</v>
      </c>
      <c r="B50" s="28" t="s">
        <v>15</v>
      </c>
      <c r="C50" s="29" t="s">
        <v>91</v>
      </c>
      <c r="D50" s="30" t="s">
        <v>51</v>
      </c>
      <c r="E50" s="37" t="s">
        <v>37</v>
      </c>
    </row>
    <row r="51" spans="1:5" ht="29.25" hidden="1" customHeight="1" thickBot="1" x14ac:dyDescent="0.25">
      <c r="A51" s="34">
        <v>42097</v>
      </c>
      <c r="B51" s="25" t="s">
        <v>29</v>
      </c>
      <c r="C51" s="26" t="s">
        <v>92</v>
      </c>
      <c r="D51" s="27" t="s">
        <v>31</v>
      </c>
      <c r="E51" s="35" t="s">
        <v>93</v>
      </c>
    </row>
    <row r="52" spans="1:5" ht="39" hidden="1" customHeight="1" thickBot="1" x14ac:dyDescent="0.25">
      <c r="A52" s="36">
        <v>42098</v>
      </c>
      <c r="B52" s="28" t="s">
        <v>17</v>
      </c>
      <c r="C52" s="29" t="s">
        <v>94</v>
      </c>
      <c r="D52" s="30" t="s">
        <v>22</v>
      </c>
      <c r="E52" s="37"/>
    </row>
    <row r="53" spans="1:5" ht="39" hidden="1" customHeight="1" thickBot="1" x14ac:dyDescent="0.25">
      <c r="A53" s="34">
        <v>42098</v>
      </c>
      <c r="B53" s="25" t="s">
        <v>17</v>
      </c>
      <c r="C53" s="26" t="s">
        <v>95</v>
      </c>
      <c r="D53" s="27" t="s">
        <v>49</v>
      </c>
      <c r="E53" s="35"/>
    </row>
    <row r="54" spans="1:5" ht="57.75" hidden="1" customHeight="1" thickBot="1" x14ac:dyDescent="0.25">
      <c r="A54" s="40">
        <v>42099</v>
      </c>
      <c r="B54" s="28" t="s">
        <v>45</v>
      </c>
      <c r="C54" s="29" t="s">
        <v>96</v>
      </c>
      <c r="D54" s="30" t="s">
        <v>97</v>
      </c>
      <c r="E54" s="37"/>
    </row>
    <row r="55" spans="1:5" ht="29.25" hidden="1" customHeight="1" thickBot="1" x14ac:dyDescent="0.25">
      <c r="A55" s="34">
        <v>42100</v>
      </c>
      <c r="B55" s="25" t="s">
        <v>33</v>
      </c>
      <c r="C55" s="26" t="s">
        <v>98</v>
      </c>
      <c r="D55" s="27" t="s">
        <v>22</v>
      </c>
      <c r="E55" s="35"/>
    </row>
    <row r="56" spans="1:5" ht="39" customHeight="1" thickBot="1" x14ac:dyDescent="0.25">
      <c r="A56" s="36">
        <v>42100</v>
      </c>
      <c r="B56" s="28" t="s">
        <v>33</v>
      </c>
      <c r="C56" s="29" t="s">
        <v>99</v>
      </c>
      <c r="D56" s="30" t="s">
        <v>27</v>
      </c>
      <c r="E56" s="37"/>
    </row>
    <row r="57" spans="1:5" ht="39" hidden="1" customHeight="1" thickBot="1" x14ac:dyDescent="0.25">
      <c r="A57" s="34">
        <v>42104</v>
      </c>
      <c r="B57" s="25" t="s">
        <v>29</v>
      </c>
      <c r="C57" s="26" t="s">
        <v>100</v>
      </c>
      <c r="D57" s="27" t="s">
        <v>25</v>
      </c>
      <c r="E57" s="35"/>
    </row>
    <row r="58" spans="1:5" ht="51.75" hidden="1" customHeight="1" thickBot="1" x14ac:dyDescent="0.25">
      <c r="A58" s="36">
        <v>42105</v>
      </c>
      <c r="B58" s="28" t="s">
        <v>17</v>
      </c>
      <c r="C58" s="29" t="s">
        <v>101</v>
      </c>
      <c r="D58" s="30" t="s">
        <v>49</v>
      </c>
      <c r="E58" s="37"/>
    </row>
    <row r="59" spans="1:5" ht="51.75" hidden="1" customHeight="1" thickBot="1" x14ac:dyDescent="0.25">
      <c r="A59" s="34">
        <v>42105</v>
      </c>
      <c r="B59" s="25" t="s">
        <v>17</v>
      </c>
      <c r="C59" s="26" t="s">
        <v>102</v>
      </c>
      <c r="D59" s="27" t="s">
        <v>25</v>
      </c>
      <c r="E59" s="35"/>
    </row>
    <row r="60" spans="1:5" ht="29.25" hidden="1" customHeight="1" thickBot="1" x14ac:dyDescent="0.25">
      <c r="A60" s="36">
        <v>42106</v>
      </c>
      <c r="B60" s="28" t="s">
        <v>45</v>
      </c>
      <c r="C60" s="29" t="s">
        <v>103</v>
      </c>
      <c r="D60" s="30" t="s">
        <v>25</v>
      </c>
      <c r="E60" s="37"/>
    </row>
    <row r="61" spans="1:5" ht="39" hidden="1" customHeight="1" thickBot="1" x14ac:dyDescent="0.25">
      <c r="A61" s="38">
        <v>42107</v>
      </c>
      <c r="B61" s="31" t="s">
        <v>33</v>
      </c>
      <c r="C61" s="32" t="s">
        <v>104</v>
      </c>
      <c r="D61" s="33" t="s">
        <v>25</v>
      </c>
      <c r="E61" s="39"/>
    </row>
    <row r="62" spans="1:5" ht="51.75" customHeight="1" thickBot="1" x14ac:dyDescent="0.25">
      <c r="A62" s="40">
        <v>42107</v>
      </c>
      <c r="B62" s="28" t="s">
        <v>33</v>
      </c>
      <c r="C62" s="29" t="s">
        <v>105</v>
      </c>
      <c r="D62" s="30" t="s">
        <v>27</v>
      </c>
      <c r="E62" s="37"/>
    </row>
    <row r="63" spans="1:5" ht="39" hidden="1" customHeight="1" thickBot="1" x14ac:dyDescent="0.25">
      <c r="A63" s="38">
        <v>42109</v>
      </c>
      <c r="B63" s="31" t="s">
        <v>23</v>
      </c>
      <c r="C63" s="32" t="s">
        <v>106</v>
      </c>
      <c r="D63" s="33" t="s">
        <v>49</v>
      </c>
      <c r="E63" s="39"/>
    </row>
    <row r="64" spans="1:5" ht="29.25" customHeight="1" thickBot="1" x14ac:dyDescent="0.25">
      <c r="A64" s="40">
        <v>42109</v>
      </c>
      <c r="B64" s="28" t="s">
        <v>23</v>
      </c>
      <c r="C64" s="29" t="s">
        <v>107</v>
      </c>
      <c r="D64" s="30" t="s">
        <v>27</v>
      </c>
      <c r="E64" s="37"/>
    </row>
    <row r="65" spans="1:5" ht="43.5" hidden="1" customHeight="1" thickBot="1" x14ac:dyDescent="0.25">
      <c r="A65" s="38">
        <v>42109</v>
      </c>
      <c r="B65" s="31" t="s">
        <v>23</v>
      </c>
      <c r="C65" s="32" t="s">
        <v>108</v>
      </c>
      <c r="D65" s="33" t="s">
        <v>51</v>
      </c>
      <c r="E65" s="39" t="s">
        <v>84</v>
      </c>
    </row>
    <row r="66" spans="1:5" ht="57.75" hidden="1" customHeight="1" thickBot="1" x14ac:dyDescent="0.25">
      <c r="A66" s="40">
        <v>42110</v>
      </c>
      <c r="B66" s="28" t="s">
        <v>15</v>
      </c>
      <c r="C66" s="29" t="s">
        <v>109</v>
      </c>
      <c r="D66" s="30" t="s">
        <v>31</v>
      </c>
      <c r="E66" s="37" t="s">
        <v>110</v>
      </c>
    </row>
    <row r="67" spans="1:5" ht="57.75" hidden="1" customHeight="1" thickBot="1" x14ac:dyDescent="0.25">
      <c r="A67" s="34">
        <v>42114</v>
      </c>
      <c r="B67" s="25" t="s">
        <v>33</v>
      </c>
      <c r="C67" s="26" t="s">
        <v>111</v>
      </c>
      <c r="D67" s="27" t="s">
        <v>31</v>
      </c>
      <c r="E67" s="35" t="s">
        <v>112</v>
      </c>
    </row>
    <row r="68" spans="1:5" ht="39" hidden="1" customHeight="1" thickBot="1" x14ac:dyDescent="0.25">
      <c r="A68" s="36">
        <v>42115</v>
      </c>
      <c r="B68" s="28" t="s">
        <v>20</v>
      </c>
      <c r="C68" s="29" t="s">
        <v>113</v>
      </c>
      <c r="D68" s="30" t="s">
        <v>31</v>
      </c>
      <c r="E68" s="37" t="s">
        <v>39</v>
      </c>
    </row>
    <row r="69" spans="1:5" ht="51.75" customHeight="1" thickBot="1" x14ac:dyDescent="0.25">
      <c r="A69" s="34">
        <v>42115</v>
      </c>
      <c r="B69" s="25" t="s">
        <v>20</v>
      </c>
      <c r="C69" s="26" t="s">
        <v>114</v>
      </c>
      <c r="D69" s="27" t="s">
        <v>27</v>
      </c>
      <c r="E69" s="35"/>
    </row>
    <row r="70" spans="1:5" ht="43.5" hidden="1" customHeight="1" thickBot="1" x14ac:dyDescent="0.25">
      <c r="A70" s="40">
        <v>42116</v>
      </c>
      <c r="B70" s="28" t="s">
        <v>23</v>
      </c>
      <c r="C70" s="29" t="s">
        <v>115</v>
      </c>
      <c r="D70" s="30" t="s">
        <v>51</v>
      </c>
      <c r="E70" s="37" t="s">
        <v>116</v>
      </c>
    </row>
    <row r="71" spans="1:5" ht="64.5" customHeight="1" thickBot="1" x14ac:dyDescent="0.25">
      <c r="A71" s="38">
        <v>42116</v>
      </c>
      <c r="B71" s="31" t="s">
        <v>23</v>
      </c>
      <c r="C71" s="32" t="s">
        <v>117</v>
      </c>
      <c r="D71" s="33" t="s">
        <v>27</v>
      </c>
      <c r="E71" s="39"/>
    </row>
    <row r="72" spans="1:5" ht="39" hidden="1" customHeight="1" thickBot="1" x14ac:dyDescent="0.25">
      <c r="A72" s="40">
        <v>42117</v>
      </c>
      <c r="B72" s="28" t="s">
        <v>15</v>
      </c>
      <c r="C72" s="29" t="s">
        <v>118</v>
      </c>
      <c r="D72" s="30" t="s">
        <v>49</v>
      </c>
      <c r="E72" s="37"/>
    </row>
    <row r="73" spans="1:5" ht="29.25" hidden="1" customHeight="1" thickBot="1" x14ac:dyDescent="0.25">
      <c r="A73" s="38">
        <v>42118</v>
      </c>
      <c r="B73" s="31" t="s">
        <v>29</v>
      </c>
      <c r="C73" s="32" t="s">
        <v>119</v>
      </c>
      <c r="D73" s="33" t="s">
        <v>31</v>
      </c>
      <c r="E73" s="39" t="s">
        <v>120</v>
      </c>
    </row>
    <row r="74" spans="1:5" ht="51.75" hidden="1" customHeight="1" thickBot="1" x14ac:dyDescent="0.25">
      <c r="A74" s="40">
        <v>42120</v>
      </c>
      <c r="B74" s="28" t="s">
        <v>45</v>
      </c>
      <c r="C74" s="29" t="s">
        <v>38</v>
      </c>
      <c r="D74" s="30" t="s">
        <v>51</v>
      </c>
      <c r="E74" s="37" t="s">
        <v>37</v>
      </c>
    </row>
    <row r="75" spans="1:5" ht="51.75" hidden="1" customHeight="1" thickBot="1" x14ac:dyDescent="0.25">
      <c r="A75" s="38">
        <v>42121</v>
      </c>
      <c r="B75" s="31" t="s">
        <v>33</v>
      </c>
      <c r="C75" s="32" t="s">
        <v>38</v>
      </c>
      <c r="D75" s="33" t="s">
        <v>31</v>
      </c>
      <c r="E75" s="39" t="s">
        <v>121</v>
      </c>
    </row>
    <row r="76" spans="1:5" ht="51.75" hidden="1" customHeight="1" thickBot="1" x14ac:dyDescent="0.25">
      <c r="A76" s="40">
        <v>42121</v>
      </c>
      <c r="B76" s="28" t="s">
        <v>33</v>
      </c>
      <c r="C76" s="29" t="s">
        <v>38</v>
      </c>
      <c r="D76" s="30" t="s">
        <v>31</v>
      </c>
      <c r="E76" s="37" t="s">
        <v>122</v>
      </c>
    </row>
    <row r="77" spans="1:5" ht="29.25" customHeight="1" thickBot="1" x14ac:dyDescent="0.25">
      <c r="A77" s="34">
        <v>42125</v>
      </c>
      <c r="B77" s="25" t="s">
        <v>29</v>
      </c>
      <c r="C77" s="26" t="s">
        <v>123</v>
      </c>
      <c r="D77" s="27" t="s">
        <v>27</v>
      </c>
      <c r="E77" s="35"/>
    </row>
    <row r="78" spans="1:5" ht="29.25" customHeight="1" thickBot="1" x14ac:dyDescent="0.25">
      <c r="A78" s="36">
        <v>42125</v>
      </c>
      <c r="B78" s="28" t="s">
        <v>29</v>
      </c>
      <c r="C78" s="29" t="s">
        <v>124</v>
      </c>
      <c r="D78" s="30" t="s">
        <v>27</v>
      </c>
      <c r="E78" s="37"/>
    </row>
    <row r="79" spans="1:5" ht="102.75" customHeight="1" thickBot="1" x14ac:dyDescent="0.25">
      <c r="A79" s="34">
        <v>42126</v>
      </c>
      <c r="B79" s="25" t="s">
        <v>17</v>
      </c>
      <c r="C79" s="26" t="s">
        <v>125</v>
      </c>
      <c r="D79" s="27" t="s">
        <v>27</v>
      </c>
      <c r="E79" s="35"/>
    </row>
    <row r="80" spans="1:5" ht="64.5" hidden="1" customHeight="1" thickBot="1" x14ac:dyDescent="0.25">
      <c r="A80" s="40">
        <v>42128</v>
      </c>
      <c r="B80" s="28" t="s">
        <v>33</v>
      </c>
      <c r="C80" s="29" t="s">
        <v>126</v>
      </c>
      <c r="D80" s="30" t="s">
        <v>51</v>
      </c>
      <c r="E80" s="37" t="s">
        <v>127</v>
      </c>
    </row>
    <row r="81" spans="1:5" ht="29.25" customHeight="1" thickBot="1" x14ac:dyDescent="0.25">
      <c r="A81" s="38">
        <v>42129</v>
      </c>
      <c r="B81" s="31" t="s">
        <v>20</v>
      </c>
      <c r="C81" s="32" t="s">
        <v>128</v>
      </c>
      <c r="D81" s="33" t="s">
        <v>27</v>
      </c>
      <c r="E81" s="39"/>
    </row>
    <row r="82" spans="1:5" ht="51.75" hidden="1" customHeight="1" thickBot="1" x14ac:dyDescent="0.25">
      <c r="A82" s="40">
        <v>42129</v>
      </c>
      <c r="B82" s="28" t="s">
        <v>20</v>
      </c>
      <c r="C82" s="29" t="s">
        <v>129</v>
      </c>
      <c r="D82" s="30" t="s">
        <v>31</v>
      </c>
      <c r="E82" s="37" t="s">
        <v>130</v>
      </c>
    </row>
    <row r="83" spans="1:5" ht="39" customHeight="1" thickBot="1" x14ac:dyDescent="0.25">
      <c r="A83" s="38">
        <v>42130</v>
      </c>
      <c r="B83" s="31" t="s">
        <v>23</v>
      </c>
      <c r="C83" s="32" t="s">
        <v>131</v>
      </c>
      <c r="D83" s="33" t="s">
        <v>27</v>
      </c>
      <c r="E83" s="39"/>
    </row>
    <row r="84" spans="1:5" ht="29.25" hidden="1" customHeight="1" thickBot="1" x14ac:dyDescent="0.25">
      <c r="A84" s="40">
        <v>42131</v>
      </c>
      <c r="B84" s="28" t="s">
        <v>15</v>
      </c>
      <c r="C84" s="29" t="s">
        <v>132</v>
      </c>
      <c r="D84" s="30" t="s">
        <v>49</v>
      </c>
      <c r="E84" s="37"/>
    </row>
    <row r="85" spans="1:5" ht="39" customHeight="1" thickBot="1" x14ac:dyDescent="0.25">
      <c r="A85" s="38">
        <v>42131</v>
      </c>
      <c r="B85" s="31" t="s">
        <v>15</v>
      </c>
      <c r="C85" s="32" t="s">
        <v>133</v>
      </c>
      <c r="D85" s="33" t="s">
        <v>27</v>
      </c>
      <c r="E85" s="39"/>
    </row>
    <row r="86" spans="1:5" ht="29.25" hidden="1" customHeight="1" thickBot="1" x14ac:dyDescent="0.25">
      <c r="A86" s="40">
        <v>42132</v>
      </c>
      <c r="B86" s="28" t="s">
        <v>29</v>
      </c>
      <c r="C86" s="29" t="s">
        <v>134</v>
      </c>
      <c r="D86" s="30" t="s">
        <v>31</v>
      </c>
      <c r="E86" s="37" t="s">
        <v>135</v>
      </c>
    </row>
    <row r="87" spans="1:5" ht="29.25" customHeight="1" thickBot="1" x14ac:dyDescent="0.25">
      <c r="A87" s="34">
        <v>42134</v>
      </c>
      <c r="B87" s="25" t="s">
        <v>45</v>
      </c>
      <c r="C87" s="26" t="s">
        <v>136</v>
      </c>
      <c r="D87" s="27" t="s">
        <v>27</v>
      </c>
      <c r="E87" s="35"/>
    </row>
    <row r="88" spans="1:5" ht="51.75" hidden="1" customHeight="1" thickBot="1" x14ac:dyDescent="0.25">
      <c r="A88" s="36">
        <v>42134</v>
      </c>
      <c r="B88" s="28" t="s">
        <v>45</v>
      </c>
      <c r="C88" s="29" t="s">
        <v>38</v>
      </c>
      <c r="D88" s="30" t="s">
        <v>31</v>
      </c>
      <c r="E88" s="37" t="s">
        <v>137</v>
      </c>
    </row>
    <row r="89" spans="1:5" ht="51.75" hidden="1" customHeight="1" thickBot="1" x14ac:dyDescent="0.25">
      <c r="A89" s="34">
        <v>42134</v>
      </c>
      <c r="B89" s="25" t="s">
        <v>45</v>
      </c>
      <c r="C89" s="26" t="s">
        <v>38</v>
      </c>
      <c r="D89" s="27" t="s">
        <v>51</v>
      </c>
      <c r="E89" s="35" t="s">
        <v>138</v>
      </c>
    </row>
    <row r="90" spans="1:5" ht="77.25" hidden="1" customHeight="1" thickBot="1" x14ac:dyDescent="0.25">
      <c r="A90" s="36">
        <v>42135</v>
      </c>
      <c r="B90" s="28" t="s">
        <v>33</v>
      </c>
      <c r="C90" s="29" t="s">
        <v>139</v>
      </c>
      <c r="D90" s="30" t="s">
        <v>31</v>
      </c>
      <c r="E90" s="37" t="s">
        <v>137</v>
      </c>
    </row>
    <row r="91" spans="1:5" ht="29.25" hidden="1" customHeight="1" thickBot="1" x14ac:dyDescent="0.25">
      <c r="A91" s="34">
        <v>42138</v>
      </c>
      <c r="B91" s="25" t="s">
        <v>15</v>
      </c>
      <c r="C91" s="26" t="s">
        <v>140</v>
      </c>
      <c r="D91" s="27" t="s">
        <v>22</v>
      </c>
      <c r="E91" s="35"/>
    </row>
    <row r="92" spans="1:5" ht="51.75" customHeight="1" thickBot="1" x14ac:dyDescent="0.25">
      <c r="A92" s="40">
        <v>42139</v>
      </c>
      <c r="B92" s="28" t="s">
        <v>29</v>
      </c>
      <c r="C92" s="29" t="s">
        <v>141</v>
      </c>
      <c r="D92" s="30" t="s">
        <v>27</v>
      </c>
      <c r="E92" s="37"/>
    </row>
    <row r="93" spans="1:5" ht="64.5" customHeight="1" thickBot="1" x14ac:dyDescent="0.25">
      <c r="A93" s="38">
        <v>42139</v>
      </c>
      <c r="B93" s="31" t="s">
        <v>29</v>
      </c>
      <c r="C93" s="32" t="s">
        <v>142</v>
      </c>
      <c r="D93" s="33" t="s">
        <v>27</v>
      </c>
      <c r="E93" s="39"/>
    </row>
    <row r="94" spans="1:5" ht="26.25" hidden="1" customHeight="1" thickBot="1" x14ac:dyDescent="0.25">
      <c r="A94" s="40">
        <v>42140</v>
      </c>
      <c r="B94" s="28" t="s">
        <v>17</v>
      </c>
      <c r="C94" s="29" t="s">
        <v>143</v>
      </c>
      <c r="D94" s="30" t="s">
        <v>19</v>
      </c>
      <c r="E94" s="37"/>
    </row>
    <row r="95" spans="1:5" ht="39" customHeight="1" thickBot="1" x14ac:dyDescent="0.25">
      <c r="A95" s="38">
        <v>42140</v>
      </c>
      <c r="B95" s="31" t="s">
        <v>17</v>
      </c>
      <c r="C95" s="32" t="s">
        <v>144</v>
      </c>
      <c r="D95" s="33" t="s">
        <v>27</v>
      </c>
      <c r="E95" s="39"/>
    </row>
    <row r="96" spans="1:5" ht="90" customHeight="1" thickBot="1" x14ac:dyDescent="0.25">
      <c r="A96" s="40">
        <v>42144</v>
      </c>
      <c r="B96" s="28" t="s">
        <v>23</v>
      </c>
      <c r="C96" s="29" t="s">
        <v>145</v>
      </c>
      <c r="D96" s="30" t="s">
        <v>27</v>
      </c>
      <c r="E96" s="37"/>
    </row>
    <row r="97" spans="1:5" ht="39" customHeight="1" thickBot="1" x14ac:dyDescent="0.25">
      <c r="A97" s="38">
        <v>42146</v>
      </c>
      <c r="B97" s="31" t="s">
        <v>29</v>
      </c>
      <c r="C97" s="32" t="s">
        <v>146</v>
      </c>
      <c r="D97" s="33" t="s">
        <v>27</v>
      </c>
      <c r="E97" s="39"/>
    </row>
    <row r="98" spans="1:5" ht="43.5" hidden="1" customHeight="1" thickBot="1" x14ac:dyDescent="0.25">
      <c r="A98" s="40">
        <v>42146</v>
      </c>
      <c r="B98" s="28" t="s">
        <v>29</v>
      </c>
      <c r="C98" s="29" t="s">
        <v>147</v>
      </c>
      <c r="D98" s="30" t="s">
        <v>51</v>
      </c>
      <c r="E98" s="37" t="s">
        <v>148</v>
      </c>
    </row>
    <row r="99" spans="1:5" ht="29.25" hidden="1" customHeight="1" thickBot="1" x14ac:dyDescent="0.25">
      <c r="A99" s="34">
        <v>42148</v>
      </c>
      <c r="B99" s="25" t="s">
        <v>45</v>
      </c>
      <c r="C99" s="26" t="s">
        <v>149</v>
      </c>
      <c r="D99" s="27" t="s">
        <v>22</v>
      </c>
      <c r="E99" s="35"/>
    </row>
    <row r="100" spans="1:5" ht="29.25" hidden="1" customHeight="1" thickBot="1" x14ac:dyDescent="0.25">
      <c r="A100" s="36">
        <v>42148</v>
      </c>
      <c r="B100" s="28" t="s">
        <v>45</v>
      </c>
      <c r="C100" s="29" t="s">
        <v>150</v>
      </c>
      <c r="D100" s="30" t="s">
        <v>49</v>
      </c>
      <c r="E100" s="37"/>
    </row>
    <row r="101" spans="1:5" ht="29.25" hidden="1" customHeight="1" thickBot="1" x14ac:dyDescent="0.25">
      <c r="A101" s="34">
        <v>42149</v>
      </c>
      <c r="B101" s="25" t="s">
        <v>33</v>
      </c>
      <c r="C101" s="26" t="s">
        <v>151</v>
      </c>
      <c r="D101" s="27" t="s">
        <v>22</v>
      </c>
      <c r="E101" s="35"/>
    </row>
    <row r="102" spans="1:5" ht="15.75" hidden="1" thickBot="1" x14ac:dyDescent="0.25">
      <c r="A102" s="36">
        <v>42149</v>
      </c>
      <c r="B102" s="28" t="s">
        <v>33</v>
      </c>
      <c r="C102" s="47" t="s">
        <v>152</v>
      </c>
      <c r="D102" s="30" t="s">
        <v>16</v>
      </c>
      <c r="E102" s="37"/>
    </row>
    <row r="103" spans="1:5" ht="43.5" hidden="1" customHeight="1" thickBot="1" x14ac:dyDescent="0.25">
      <c r="A103" s="34">
        <v>42149</v>
      </c>
      <c r="B103" s="25" t="s">
        <v>33</v>
      </c>
      <c r="C103" s="26" t="s">
        <v>153</v>
      </c>
      <c r="D103" s="27" t="s">
        <v>51</v>
      </c>
      <c r="E103" s="35" t="s">
        <v>122</v>
      </c>
    </row>
    <row r="104" spans="1:5" ht="51.75" customHeight="1" thickBot="1" x14ac:dyDescent="0.25">
      <c r="A104" s="36">
        <v>42149</v>
      </c>
      <c r="B104" s="28" t="s">
        <v>33</v>
      </c>
      <c r="C104" s="29" t="s">
        <v>154</v>
      </c>
      <c r="D104" s="30" t="s">
        <v>27</v>
      </c>
      <c r="E104" s="37"/>
    </row>
    <row r="105" spans="1:5" ht="29.25" hidden="1" customHeight="1" thickBot="1" x14ac:dyDescent="0.25">
      <c r="A105" s="38">
        <v>42155</v>
      </c>
      <c r="B105" s="31" t="s">
        <v>45</v>
      </c>
      <c r="C105" s="32" t="s">
        <v>155</v>
      </c>
      <c r="D105" s="33" t="s">
        <v>22</v>
      </c>
      <c r="E105" s="39"/>
    </row>
    <row r="106" spans="1:5" ht="57.75" hidden="1" customHeight="1" thickBot="1" x14ac:dyDescent="0.25">
      <c r="A106" s="36">
        <v>42156</v>
      </c>
      <c r="B106" s="28" t="s">
        <v>33</v>
      </c>
      <c r="C106" s="29" t="s">
        <v>156</v>
      </c>
      <c r="D106" s="30" t="s">
        <v>51</v>
      </c>
      <c r="E106" s="37" t="s">
        <v>157</v>
      </c>
    </row>
    <row r="107" spans="1:5" ht="39" hidden="1" customHeight="1" thickBot="1" x14ac:dyDescent="0.25">
      <c r="A107" s="34">
        <v>42156</v>
      </c>
      <c r="B107" s="25" t="s">
        <v>33</v>
      </c>
      <c r="C107" s="26" t="s">
        <v>153</v>
      </c>
      <c r="D107" s="27" t="s">
        <v>31</v>
      </c>
      <c r="E107" s="35" t="s">
        <v>158</v>
      </c>
    </row>
    <row r="108" spans="1:5" ht="43.5" hidden="1" customHeight="1" thickBot="1" x14ac:dyDescent="0.25">
      <c r="A108" s="36">
        <v>42158</v>
      </c>
      <c r="B108" s="28" t="s">
        <v>23</v>
      </c>
      <c r="C108" s="29" t="s">
        <v>153</v>
      </c>
      <c r="D108" s="30" t="s">
        <v>51</v>
      </c>
      <c r="E108" s="37" t="s">
        <v>37</v>
      </c>
    </row>
    <row r="109" spans="1:5" ht="29.25" hidden="1" customHeight="1" thickBot="1" x14ac:dyDescent="0.25">
      <c r="A109" s="34">
        <v>42159</v>
      </c>
      <c r="B109" s="25" t="s">
        <v>15</v>
      </c>
      <c r="C109" s="26" t="s">
        <v>159</v>
      </c>
      <c r="D109" s="27" t="s">
        <v>22</v>
      </c>
      <c r="E109" s="35"/>
    </row>
    <row r="110" spans="1:5" ht="29.25" customHeight="1" thickBot="1" x14ac:dyDescent="0.25">
      <c r="A110" s="36">
        <v>42161</v>
      </c>
      <c r="B110" s="28" t="s">
        <v>17</v>
      </c>
      <c r="C110" s="29" t="s">
        <v>160</v>
      </c>
      <c r="D110" s="30" t="s">
        <v>27</v>
      </c>
      <c r="E110" s="37"/>
    </row>
    <row r="111" spans="1:5" ht="39" hidden="1" customHeight="1" thickBot="1" x14ac:dyDescent="0.25">
      <c r="A111" s="38">
        <v>42166</v>
      </c>
      <c r="B111" s="31" t="s">
        <v>15</v>
      </c>
      <c r="C111" s="32" t="s">
        <v>161</v>
      </c>
      <c r="D111" s="33" t="s">
        <v>31</v>
      </c>
      <c r="E111" s="39" t="s">
        <v>84</v>
      </c>
    </row>
    <row r="112" spans="1:5" ht="29.25" customHeight="1" thickBot="1" x14ac:dyDescent="0.25">
      <c r="A112" s="40">
        <v>42169</v>
      </c>
      <c r="B112" s="28" t="s">
        <v>45</v>
      </c>
      <c r="C112" s="29" t="s">
        <v>162</v>
      </c>
      <c r="D112" s="30" t="s">
        <v>27</v>
      </c>
      <c r="E112" s="37"/>
    </row>
    <row r="113" spans="1:5" ht="43.5" hidden="1" customHeight="1" thickBot="1" x14ac:dyDescent="0.25">
      <c r="A113" s="38">
        <v>42172</v>
      </c>
      <c r="B113" s="31" t="s">
        <v>23</v>
      </c>
      <c r="C113" s="32" t="s">
        <v>163</v>
      </c>
      <c r="D113" s="33" t="s">
        <v>31</v>
      </c>
      <c r="E113" s="39" t="s">
        <v>78</v>
      </c>
    </row>
    <row r="114" spans="1:5" ht="26.25" hidden="1" customHeight="1" thickBot="1" x14ac:dyDescent="0.25">
      <c r="A114" s="40">
        <v>42173</v>
      </c>
      <c r="B114" s="28" t="s">
        <v>15</v>
      </c>
      <c r="C114" s="29" t="s">
        <v>164</v>
      </c>
      <c r="D114" s="30" t="s">
        <v>19</v>
      </c>
      <c r="E114" s="37"/>
    </row>
    <row r="115" spans="1:5" ht="186" hidden="1" customHeight="1" thickBot="1" x14ac:dyDescent="0.25">
      <c r="A115" s="38">
        <v>42174</v>
      </c>
      <c r="B115" s="31" t="s">
        <v>29</v>
      </c>
      <c r="C115" s="32" t="s">
        <v>165</v>
      </c>
      <c r="D115" s="33" t="s">
        <v>51</v>
      </c>
      <c r="E115" s="39" t="s">
        <v>166</v>
      </c>
    </row>
    <row r="116" spans="1:5" ht="39" hidden="1" customHeight="1" thickBot="1" x14ac:dyDescent="0.25">
      <c r="A116" s="40">
        <v>42174</v>
      </c>
      <c r="B116" s="28" t="s">
        <v>29</v>
      </c>
      <c r="C116" s="29" t="s">
        <v>109</v>
      </c>
      <c r="D116" s="30" t="s">
        <v>31</v>
      </c>
      <c r="E116" s="37" t="s">
        <v>39</v>
      </c>
    </row>
    <row r="117" spans="1:5" ht="39" hidden="1" customHeight="1" thickBot="1" x14ac:dyDescent="0.25">
      <c r="A117" s="34">
        <v>42175</v>
      </c>
      <c r="B117" s="25" t="s">
        <v>17</v>
      </c>
      <c r="C117" s="26" t="s">
        <v>167</v>
      </c>
      <c r="D117" s="27" t="s">
        <v>31</v>
      </c>
      <c r="E117" s="35" t="s">
        <v>168</v>
      </c>
    </row>
    <row r="118" spans="1:5" ht="29.25" hidden="1" customHeight="1" thickBot="1" x14ac:dyDescent="0.25">
      <c r="A118" s="36">
        <v>42176</v>
      </c>
      <c r="B118" s="28" t="s">
        <v>45</v>
      </c>
      <c r="C118" s="29" t="s">
        <v>169</v>
      </c>
      <c r="D118" s="30" t="s">
        <v>80</v>
      </c>
      <c r="E118" s="37"/>
    </row>
    <row r="119" spans="1:5" ht="29.25" customHeight="1" thickBot="1" x14ac:dyDescent="0.25">
      <c r="A119" s="34">
        <v>42176</v>
      </c>
      <c r="B119" s="25" t="s">
        <v>45</v>
      </c>
      <c r="C119" s="26" t="s">
        <v>170</v>
      </c>
      <c r="D119" s="27" t="s">
        <v>27</v>
      </c>
      <c r="E119" s="35"/>
    </row>
    <row r="120" spans="1:5" ht="15.75" hidden="1" thickBot="1" x14ac:dyDescent="0.25">
      <c r="A120" s="40">
        <v>42188</v>
      </c>
      <c r="B120" s="28" t="s">
        <v>29</v>
      </c>
      <c r="C120" s="47" t="s">
        <v>171</v>
      </c>
      <c r="D120" s="30" t="s">
        <v>16</v>
      </c>
      <c r="E120" s="37"/>
    </row>
    <row r="121" spans="1:5" ht="15.75" hidden="1" thickBot="1" x14ac:dyDescent="0.25">
      <c r="A121" s="34">
        <v>42189</v>
      </c>
      <c r="B121" s="25" t="s">
        <v>17</v>
      </c>
      <c r="C121" s="46" t="s">
        <v>172</v>
      </c>
      <c r="D121" s="27" t="s">
        <v>16</v>
      </c>
      <c r="E121" s="35"/>
    </row>
    <row r="122" spans="1:5" ht="26.25" hidden="1" customHeight="1" thickBot="1" x14ac:dyDescent="0.25">
      <c r="A122" s="40">
        <v>42198</v>
      </c>
      <c r="B122" s="28" t="s">
        <v>33</v>
      </c>
      <c r="C122" s="29" t="s">
        <v>173</v>
      </c>
      <c r="D122" s="30" t="s">
        <v>19</v>
      </c>
      <c r="E122" s="37"/>
    </row>
    <row r="123" spans="1:5" ht="26.25" hidden="1" customHeight="1" thickBot="1" x14ac:dyDescent="0.25">
      <c r="A123" s="38">
        <v>42203</v>
      </c>
      <c r="B123" s="31" t="s">
        <v>17</v>
      </c>
      <c r="C123" s="32" t="s">
        <v>174</v>
      </c>
      <c r="D123" s="33" t="s">
        <v>19</v>
      </c>
      <c r="E123" s="39"/>
    </row>
    <row r="124" spans="1:5" ht="29.25" hidden="1" customHeight="1" thickBot="1" x14ac:dyDescent="0.25">
      <c r="A124" s="40">
        <v>42209</v>
      </c>
      <c r="B124" s="28" t="s">
        <v>29</v>
      </c>
      <c r="C124" s="29" t="s">
        <v>175</v>
      </c>
      <c r="D124" s="30" t="s">
        <v>31</v>
      </c>
      <c r="E124" s="37" t="s">
        <v>176</v>
      </c>
    </row>
    <row r="125" spans="1:5" ht="29.25" hidden="1" customHeight="1" thickBot="1" x14ac:dyDescent="0.25">
      <c r="A125" s="38">
        <v>42211</v>
      </c>
      <c r="B125" s="31" t="s">
        <v>45</v>
      </c>
      <c r="C125" s="32" t="s">
        <v>177</v>
      </c>
      <c r="D125" s="33" t="s">
        <v>49</v>
      </c>
      <c r="E125" s="39"/>
    </row>
    <row r="126" spans="1:5" ht="29.25" customHeight="1" thickBot="1" x14ac:dyDescent="0.25">
      <c r="A126" s="40">
        <v>42211</v>
      </c>
      <c r="B126" s="28" t="s">
        <v>45</v>
      </c>
      <c r="C126" s="29" t="s">
        <v>178</v>
      </c>
      <c r="D126" s="30" t="s">
        <v>27</v>
      </c>
      <c r="E126" s="37"/>
    </row>
    <row r="127" spans="1:5" ht="43.5" hidden="1" customHeight="1" thickBot="1" x14ac:dyDescent="0.25">
      <c r="A127" s="38">
        <v>42217</v>
      </c>
      <c r="B127" s="31" t="s">
        <v>17</v>
      </c>
      <c r="C127" s="32" t="s">
        <v>179</v>
      </c>
      <c r="D127" s="33" t="s">
        <v>51</v>
      </c>
      <c r="E127" s="39" t="s">
        <v>180</v>
      </c>
    </row>
    <row r="128" spans="1:5" ht="29.25" hidden="1" customHeight="1" thickBot="1" x14ac:dyDescent="0.25">
      <c r="A128" s="36">
        <v>42226</v>
      </c>
      <c r="B128" s="28" t="s">
        <v>33</v>
      </c>
      <c r="C128" s="29" t="s">
        <v>181</v>
      </c>
      <c r="D128" s="30" t="s">
        <v>31</v>
      </c>
      <c r="E128" s="37" t="s">
        <v>127</v>
      </c>
    </row>
    <row r="129" spans="1:5" ht="39" hidden="1" customHeight="1" thickBot="1" x14ac:dyDescent="0.25">
      <c r="A129" s="38">
        <v>42231</v>
      </c>
      <c r="B129" s="31" t="s">
        <v>17</v>
      </c>
      <c r="C129" s="32" t="s">
        <v>182</v>
      </c>
      <c r="D129" s="33" t="s">
        <v>22</v>
      </c>
      <c r="E129" s="39"/>
    </row>
    <row r="130" spans="1:5" ht="51.75" hidden="1" customHeight="1" thickBot="1" x14ac:dyDescent="0.25">
      <c r="A130" s="40">
        <v>42232</v>
      </c>
      <c r="B130" s="28" t="s">
        <v>45</v>
      </c>
      <c r="C130" s="29" t="s">
        <v>183</v>
      </c>
      <c r="D130" s="30" t="s">
        <v>31</v>
      </c>
      <c r="E130" s="37" t="s">
        <v>184</v>
      </c>
    </row>
    <row r="131" spans="1:5" ht="77.25" hidden="1" customHeight="1" thickBot="1" x14ac:dyDescent="0.25">
      <c r="A131" s="38">
        <v>42233</v>
      </c>
      <c r="B131" s="31" t="s">
        <v>33</v>
      </c>
      <c r="C131" s="32" t="s">
        <v>185</v>
      </c>
      <c r="D131" s="33" t="s">
        <v>31</v>
      </c>
      <c r="E131" s="39" t="s">
        <v>184</v>
      </c>
    </row>
    <row r="132" spans="1:5" ht="39" customHeight="1" thickBot="1" x14ac:dyDescent="0.25">
      <c r="A132" s="36">
        <v>42235</v>
      </c>
      <c r="B132" s="28" t="s">
        <v>23</v>
      </c>
      <c r="C132" s="29" t="s">
        <v>186</v>
      </c>
      <c r="D132" s="30" t="s">
        <v>27</v>
      </c>
      <c r="E132" s="37"/>
    </row>
    <row r="133" spans="1:5" ht="39" hidden="1" customHeight="1" thickBot="1" x14ac:dyDescent="0.25">
      <c r="A133" s="34">
        <v>42237</v>
      </c>
      <c r="B133" s="25" t="s">
        <v>29</v>
      </c>
      <c r="C133" s="26" t="s">
        <v>187</v>
      </c>
      <c r="D133" s="27" t="s">
        <v>31</v>
      </c>
      <c r="E133" s="35" t="s">
        <v>84</v>
      </c>
    </row>
    <row r="134" spans="1:5" ht="39" customHeight="1" thickBot="1" x14ac:dyDescent="0.25">
      <c r="A134" s="36">
        <v>42237</v>
      </c>
      <c r="B134" s="28" t="s">
        <v>29</v>
      </c>
      <c r="C134" s="29" t="s">
        <v>188</v>
      </c>
      <c r="D134" s="30" t="s">
        <v>27</v>
      </c>
      <c r="E134" s="37"/>
    </row>
    <row r="135" spans="1:5" ht="51.75" customHeight="1" thickBot="1" x14ac:dyDescent="0.25">
      <c r="A135" s="38">
        <v>42242</v>
      </c>
      <c r="B135" s="31" t="s">
        <v>23</v>
      </c>
      <c r="C135" s="32" t="s">
        <v>189</v>
      </c>
      <c r="D135" s="33" t="s">
        <v>27</v>
      </c>
      <c r="E135" s="39"/>
    </row>
    <row r="136" spans="1:5" ht="51.75" hidden="1" customHeight="1" thickBot="1" x14ac:dyDescent="0.25">
      <c r="A136" s="40">
        <v>42243</v>
      </c>
      <c r="B136" s="28" t="s">
        <v>15</v>
      </c>
      <c r="C136" s="29" t="s">
        <v>190</v>
      </c>
      <c r="D136" s="30" t="s">
        <v>31</v>
      </c>
      <c r="E136" s="37" t="s">
        <v>39</v>
      </c>
    </row>
    <row r="137" spans="1:5" ht="15.75" hidden="1" thickBot="1" x14ac:dyDescent="0.25">
      <c r="A137" s="38">
        <v>42254</v>
      </c>
      <c r="B137" s="31" t="s">
        <v>33</v>
      </c>
      <c r="C137" s="48" t="s">
        <v>191</v>
      </c>
      <c r="D137" s="33" t="s">
        <v>16</v>
      </c>
      <c r="E137" s="39"/>
    </row>
    <row r="138" spans="1:5" ht="51.75" hidden="1" customHeight="1" thickBot="1" x14ac:dyDescent="0.25">
      <c r="A138" s="36">
        <v>42256</v>
      </c>
      <c r="B138" s="28" t="s">
        <v>23</v>
      </c>
      <c r="C138" s="29" t="s">
        <v>192</v>
      </c>
      <c r="D138" s="30" t="s">
        <v>51</v>
      </c>
      <c r="E138" s="37" t="s">
        <v>148</v>
      </c>
    </row>
    <row r="139" spans="1:5" ht="29.25" customHeight="1" thickBot="1" x14ac:dyDescent="0.25">
      <c r="A139" s="38">
        <v>42258</v>
      </c>
      <c r="B139" s="31" t="s">
        <v>29</v>
      </c>
      <c r="C139" s="32" t="s">
        <v>193</v>
      </c>
      <c r="D139" s="33" t="s">
        <v>27</v>
      </c>
      <c r="E139" s="39"/>
    </row>
    <row r="140" spans="1:5" ht="77.25" customHeight="1" thickBot="1" x14ac:dyDescent="0.25">
      <c r="A140" s="36">
        <v>42259</v>
      </c>
      <c r="B140" s="28" t="s">
        <v>17</v>
      </c>
      <c r="C140" s="29" t="s">
        <v>194</v>
      </c>
      <c r="D140" s="30" t="s">
        <v>27</v>
      </c>
      <c r="E140" s="37"/>
    </row>
    <row r="141" spans="1:5" ht="51.75" customHeight="1" thickBot="1" x14ac:dyDescent="0.25">
      <c r="A141" s="38">
        <v>42260</v>
      </c>
      <c r="B141" s="31" t="s">
        <v>45</v>
      </c>
      <c r="C141" s="32" t="s">
        <v>195</v>
      </c>
      <c r="D141" s="33" t="s">
        <v>27</v>
      </c>
      <c r="E141" s="39"/>
    </row>
    <row r="142" spans="1:5" ht="39" hidden="1" customHeight="1" thickBot="1" x14ac:dyDescent="0.25">
      <c r="A142" s="40">
        <v>42261</v>
      </c>
      <c r="B142" s="28" t="s">
        <v>33</v>
      </c>
      <c r="C142" s="29" t="s">
        <v>196</v>
      </c>
      <c r="D142" s="30" t="s">
        <v>31</v>
      </c>
      <c r="E142" s="37" t="s">
        <v>39</v>
      </c>
    </row>
    <row r="143" spans="1:5" ht="39" hidden="1" customHeight="1" thickBot="1" x14ac:dyDescent="0.25">
      <c r="A143" s="38">
        <v>42261</v>
      </c>
      <c r="B143" s="31" t="s">
        <v>33</v>
      </c>
      <c r="C143" s="32" t="s">
        <v>196</v>
      </c>
      <c r="D143" s="33" t="s">
        <v>49</v>
      </c>
      <c r="E143" s="39"/>
    </row>
    <row r="144" spans="1:5" ht="64.5" customHeight="1" thickBot="1" x14ac:dyDescent="0.25">
      <c r="A144" s="40">
        <v>42264</v>
      </c>
      <c r="B144" s="28" t="s">
        <v>15</v>
      </c>
      <c r="C144" s="29" t="s">
        <v>197</v>
      </c>
      <c r="D144" s="30" t="s">
        <v>27</v>
      </c>
      <c r="E144" s="37"/>
    </row>
    <row r="145" spans="1:5" ht="64.5" customHeight="1" thickBot="1" x14ac:dyDescent="0.25">
      <c r="A145" s="38">
        <v>42265</v>
      </c>
      <c r="B145" s="31" t="s">
        <v>29</v>
      </c>
      <c r="C145" s="32" t="s">
        <v>198</v>
      </c>
      <c r="D145" s="33" t="s">
        <v>27</v>
      </c>
      <c r="E145" s="39"/>
    </row>
    <row r="146" spans="1:5" ht="43.5" hidden="1" customHeight="1" thickBot="1" x14ac:dyDescent="0.25">
      <c r="A146" s="40">
        <v>42269</v>
      </c>
      <c r="B146" s="28" t="s">
        <v>20</v>
      </c>
      <c r="C146" s="29" t="s">
        <v>109</v>
      </c>
      <c r="D146" s="30" t="s">
        <v>51</v>
      </c>
      <c r="E146" s="37" t="s">
        <v>199</v>
      </c>
    </row>
    <row r="147" spans="1:5" ht="29.25" hidden="1" customHeight="1" thickBot="1" x14ac:dyDescent="0.25">
      <c r="A147" s="38">
        <v>42270</v>
      </c>
      <c r="B147" s="31" t="s">
        <v>23</v>
      </c>
      <c r="C147" s="32" t="s">
        <v>200</v>
      </c>
      <c r="D147" s="33" t="s">
        <v>31</v>
      </c>
      <c r="E147" s="39" t="s">
        <v>39</v>
      </c>
    </row>
    <row r="148" spans="1:5" ht="29.25" hidden="1" customHeight="1" thickBot="1" x14ac:dyDescent="0.25">
      <c r="A148" s="40">
        <v>42270</v>
      </c>
      <c r="B148" s="28" t="s">
        <v>23</v>
      </c>
      <c r="C148" s="29" t="s">
        <v>200</v>
      </c>
      <c r="D148" s="30" t="s">
        <v>49</v>
      </c>
      <c r="E148" s="37"/>
    </row>
    <row r="149" spans="1:5" ht="39" hidden="1" customHeight="1" thickBot="1" x14ac:dyDescent="0.25">
      <c r="A149" s="38">
        <v>42270</v>
      </c>
      <c r="B149" s="31" t="s">
        <v>23</v>
      </c>
      <c r="C149" s="32" t="s">
        <v>201</v>
      </c>
      <c r="D149" s="33" t="s">
        <v>80</v>
      </c>
      <c r="E149" s="39"/>
    </row>
    <row r="150" spans="1:5" ht="26.25" hidden="1" customHeight="1" thickBot="1" x14ac:dyDescent="0.25">
      <c r="A150" s="36">
        <v>42271</v>
      </c>
      <c r="B150" s="28" t="s">
        <v>15</v>
      </c>
      <c r="C150" s="29" t="s">
        <v>202</v>
      </c>
      <c r="D150" s="30" t="s">
        <v>19</v>
      </c>
      <c r="E150" s="37"/>
    </row>
    <row r="151" spans="1:5" ht="43.5" hidden="1" customHeight="1" thickBot="1" x14ac:dyDescent="0.25">
      <c r="A151" s="38">
        <v>42272</v>
      </c>
      <c r="B151" s="31" t="s">
        <v>29</v>
      </c>
      <c r="C151" s="32" t="s">
        <v>203</v>
      </c>
      <c r="D151" s="33" t="s">
        <v>51</v>
      </c>
      <c r="E151" s="39" t="s">
        <v>148</v>
      </c>
    </row>
    <row r="152" spans="1:5" ht="51.75" customHeight="1" thickBot="1" x14ac:dyDescent="0.25">
      <c r="A152" s="36">
        <v>42274</v>
      </c>
      <c r="B152" s="28" t="s">
        <v>45</v>
      </c>
      <c r="C152" s="29" t="s">
        <v>204</v>
      </c>
      <c r="D152" s="30" t="s">
        <v>27</v>
      </c>
      <c r="E152" s="37"/>
    </row>
    <row r="153" spans="1:5" ht="39" hidden="1" customHeight="1" thickBot="1" x14ac:dyDescent="0.25">
      <c r="A153" s="34">
        <v>42275</v>
      </c>
      <c r="B153" s="25" t="s">
        <v>33</v>
      </c>
      <c r="C153" s="26" t="s">
        <v>205</v>
      </c>
      <c r="D153" s="27" t="s">
        <v>49</v>
      </c>
      <c r="E153" s="35"/>
    </row>
    <row r="154" spans="1:5" ht="51.75" hidden="1" customHeight="1" thickBot="1" x14ac:dyDescent="0.25">
      <c r="A154" s="36">
        <v>42281</v>
      </c>
      <c r="B154" s="28" t="s">
        <v>45</v>
      </c>
      <c r="C154" s="29" t="s">
        <v>206</v>
      </c>
      <c r="D154" s="30" t="s">
        <v>22</v>
      </c>
      <c r="E154" s="37"/>
    </row>
    <row r="155" spans="1:5" ht="39" hidden="1" customHeight="1" thickBot="1" x14ac:dyDescent="0.25">
      <c r="A155" s="34">
        <v>42281</v>
      </c>
      <c r="B155" s="25" t="s">
        <v>45</v>
      </c>
      <c r="C155" s="26" t="s">
        <v>207</v>
      </c>
      <c r="D155" s="27" t="s">
        <v>49</v>
      </c>
      <c r="E155" s="35"/>
    </row>
    <row r="156" spans="1:5" ht="29.25" hidden="1" customHeight="1" thickBot="1" x14ac:dyDescent="0.25">
      <c r="A156" s="36">
        <v>42282</v>
      </c>
      <c r="B156" s="28" t="s">
        <v>33</v>
      </c>
      <c r="C156" s="29" t="s">
        <v>208</v>
      </c>
      <c r="D156" s="30" t="s">
        <v>49</v>
      </c>
      <c r="E156" s="37"/>
    </row>
    <row r="157" spans="1:5" ht="39" customHeight="1" thickBot="1" x14ac:dyDescent="0.25">
      <c r="A157" s="34">
        <v>42282</v>
      </c>
      <c r="B157" s="25" t="s">
        <v>33</v>
      </c>
      <c r="C157" s="26" t="s">
        <v>209</v>
      </c>
      <c r="D157" s="27" t="s">
        <v>27</v>
      </c>
      <c r="E157" s="35"/>
    </row>
    <row r="158" spans="1:5" ht="29.25" hidden="1" customHeight="1" thickBot="1" x14ac:dyDescent="0.25">
      <c r="A158" s="36">
        <v>42283</v>
      </c>
      <c r="B158" s="28" t="s">
        <v>20</v>
      </c>
      <c r="C158" s="29" t="s">
        <v>210</v>
      </c>
      <c r="D158" s="30" t="s">
        <v>49</v>
      </c>
      <c r="E158" s="37"/>
    </row>
    <row r="159" spans="1:5" ht="39" customHeight="1" thickBot="1" x14ac:dyDescent="0.25">
      <c r="A159" s="38">
        <v>42286</v>
      </c>
      <c r="B159" s="31" t="s">
        <v>29</v>
      </c>
      <c r="C159" s="32" t="s">
        <v>211</v>
      </c>
      <c r="D159" s="33" t="s">
        <v>27</v>
      </c>
      <c r="E159" s="39"/>
    </row>
    <row r="160" spans="1:5" ht="186" hidden="1" thickBot="1" x14ac:dyDescent="0.25">
      <c r="A160" s="40">
        <v>42289</v>
      </c>
      <c r="B160" s="28" t="s">
        <v>33</v>
      </c>
      <c r="C160" s="47" t="s">
        <v>212</v>
      </c>
      <c r="D160" s="30" t="s">
        <v>16</v>
      </c>
      <c r="E160" s="37" t="s">
        <v>213</v>
      </c>
    </row>
    <row r="161" spans="1:5" ht="43.5" hidden="1" customHeight="1" thickBot="1" x14ac:dyDescent="0.25">
      <c r="A161" s="38">
        <v>42289</v>
      </c>
      <c r="B161" s="31" t="s">
        <v>33</v>
      </c>
      <c r="C161" s="32" t="s">
        <v>212</v>
      </c>
      <c r="D161" s="33" t="s">
        <v>51</v>
      </c>
      <c r="E161" s="39" t="s">
        <v>37</v>
      </c>
    </row>
    <row r="162" spans="1:5" ht="43.5" hidden="1" customHeight="1" thickBot="1" x14ac:dyDescent="0.25">
      <c r="A162" s="40">
        <v>42289</v>
      </c>
      <c r="B162" s="28" t="s">
        <v>33</v>
      </c>
      <c r="C162" s="29" t="s">
        <v>203</v>
      </c>
      <c r="D162" s="30" t="s">
        <v>51</v>
      </c>
      <c r="E162" s="37" t="s">
        <v>214</v>
      </c>
    </row>
    <row r="163" spans="1:5" ht="51.75" hidden="1" customHeight="1" thickBot="1" x14ac:dyDescent="0.25">
      <c r="A163" s="38">
        <v>42289</v>
      </c>
      <c r="B163" s="31" t="s">
        <v>33</v>
      </c>
      <c r="C163" s="32" t="s">
        <v>215</v>
      </c>
      <c r="D163" s="33" t="s">
        <v>51</v>
      </c>
      <c r="E163" s="39" t="s">
        <v>216</v>
      </c>
    </row>
    <row r="164" spans="1:5" ht="26.25" hidden="1" customHeight="1" thickBot="1" x14ac:dyDescent="0.25">
      <c r="A164" s="36">
        <v>42292</v>
      </c>
      <c r="B164" s="28" t="s">
        <v>15</v>
      </c>
      <c r="C164" s="29" t="s">
        <v>217</v>
      </c>
      <c r="D164" s="30" t="s">
        <v>19</v>
      </c>
      <c r="E164" s="37"/>
    </row>
    <row r="165" spans="1:5" ht="51.75" customHeight="1" thickBot="1" x14ac:dyDescent="0.25">
      <c r="A165" s="38">
        <v>42292</v>
      </c>
      <c r="B165" s="31" t="s">
        <v>15</v>
      </c>
      <c r="C165" s="32" t="s">
        <v>218</v>
      </c>
      <c r="D165" s="33" t="s">
        <v>27</v>
      </c>
      <c r="E165" s="39"/>
    </row>
    <row r="166" spans="1:5" ht="29.25" customHeight="1" thickBot="1" x14ac:dyDescent="0.25">
      <c r="A166" s="36">
        <v>42293</v>
      </c>
      <c r="B166" s="28" t="s">
        <v>29</v>
      </c>
      <c r="C166" s="29" t="s">
        <v>219</v>
      </c>
      <c r="D166" s="30" t="s">
        <v>27</v>
      </c>
      <c r="E166" s="37"/>
    </row>
    <row r="167" spans="1:5" ht="29.25" hidden="1" customHeight="1" thickBot="1" x14ac:dyDescent="0.25">
      <c r="A167" s="38">
        <v>42295</v>
      </c>
      <c r="B167" s="31" t="s">
        <v>45</v>
      </c>
      <c r="C167" s="32" t="s">
        <v>220</v>
      </c>
      <c r="D167" s="33" t="s">
        <v>31</v>
      </c>
      <c r="E167" s="39" t="s">
        <v>87</v>
      </c>
    </row>
    <row r="168" spans="1:5" ht="51.75" hidden="1" customHeight="1" thickBot="1" x14ac:dyDescent="0.25">
      <c r="A168" s="40">
        <v>42296</v>
      </c>
      <c r="B168" s="28" t="s">
        <v>33</v>
      </c>
      <c r="C168" s="29" t="s">
        <v>221</v>
      </c>
      <c r="D168" s="30" t="s">
        <v>31</v>
      </c>
      <c r="E168" s="37" t="s">
        <v>87</v>
      </c>
    </row>
    <row r="169" spans="1:5" ht="29.25" hidden="1" customHeight="1" thickBot="1" x14ac:dyDescent="0.25">
      <c r="A169" s="38">
        <v>42307</v>
      </c>
      <c r="B169" s="31" t="s">
        <v>29</v>
      </c>
      <c r="C169" s="32" t="s">
        <v>222</v>
      </c>
      <c r="D169" s="33" t="s">
        <v>31</v>
      </c>
      <c r="E169" s="39" t="s">
        <v>223</v>
      </c>
    </row>
    <row r="170" spans="1:5" ht="29.25" customHeight="1" thickBot="1" x14ac:dyDescent="0.25">
      <c r="A170" s="40">
        <v>42308</v>
      </c>
      <c r="B170" s="28" t="s">
        <v>17</v>
      </c>
      <c r="C170" s="29" t="s">
        <v>224</v>
      </c>
      <c r="D170" s="30" t="s">
        <v>27</v>
      </c>
      <c r="E170" s="37"/>
    </row>
    <row r="171" spans="1:5" ht="39" hidden="1" customHeight="1" thickBot="1" x14ac:dyDescent="0.25">
      <c r="A171" s="38">
        <v>42309</v>
      </c>
      <c r="B171" s="31" t="s">
        <v>45</v>
      </c>
      <c r="C171" s="32" t="s">
        <v>225</v>
      </c>
      <c r="D171" s="33" t="s">
        <v>22</v>
      </c>
      <c r="E171" s="39"/>
    </row>
    <row r="172" spans="1:5" ht="86.25" hidden="1" customHeight="1" thickBot="1" x14ac:dyDescent="0.25">
      <c r="A172" s="40">
        <v>42309</v>
      </c>
      <c r="B172" s="28" t="s">
        <v>45</v>
      </c>
      <c r="C172" s="29" t="s">
        <v>226</v>
      </c>
      <c r="D172" s="30" t="s">
        <v>75</v>
      </c>
      <c r="E172" s="37"/>
    </row>
    <row r="173" spans="1:5" ht="39" hidden="1" customHeight="1" thickBot="1" x14ac:dyDescent="0.25">
      <c r="A173" s="38">
        <v>42310</v>
      </c>
      <c r="B173" s="31" t="s">
        <v>33</v>
      </c>
      <c r="C173" s="32" t="s">
        <v>227</v>
      </c>
      <c r="D173" s="33" t="s">
        <v>22</v>
      </c>
      <c r="E173" s="39"/>
    </row>
    <row r="174" spans="1:5" ht="43.5" hidden="1" customHeight="1" thickBot="1" x14ac:dyDescent="0.25">
      <c r="A174" s="36">
        <v>42311</v>
      </c>
      <c r="B174" s="28" t="s">
        <v>20</v>
      </c>
      <c r="C174" s="29" t="s">
        <v>228</v>
      </c>
      <c r="D174" s="30" t="s">
        <v>31</v>
      </c>
      <c r="E174" s="37" t="s">
        <v>229</v>
      </c>
    </row>
    <row r="175" spans="1:5" ht="15.75" hidden="1" thickBot="1" x14ac:dyDescent="0.25">
      <c r="A175" s="34">
        <v>42319</v>
      </c>
      <c r="B175" s="25" t="s">
        <v>23</v>
      </c>
      <c r="C175" s="46" t="s">
        <v>230</v>
      </c>
      <c r="D175" s="27" t="s">
        <v>16</v>
      </c>
      <c r="E175" s="35"/>
    </row>
    <row r="176" spans="1:5" ht="39" customHeight="1" thickBot="1" x14ac:dyDescent="0.25">
      <c r="A176" s="36">
        <v>42319</v>
      </c>
      <c r="B176" s="28" t="s">
        <v>23</v>
      </c>
      <c r="C176" s="29" t="s">
        <v>231</v>
      </c>
      <c r="D176" s="30" t="s">
        <v>27</v>
      </c>
      <c r="E176" s="37"/>
    </row>
    <row r="177" spans="1:5" ht="15.75" hidden="1" thickBot="1" x14ac:dyDescent="0.25">
      <c r="A177" s="38">
        <v>42334</v>
      </c>
      <c r="B177" s="31" t="s">
        <v>15</v>
      </c>
      <c r="C177" s="48" t="s">
        <v>232</v>
      </c>
      <c r="D177" s="33" t="s">
        <v>16</v>
      </c>
      <c r="E177" s="39"/>
    </row>
    <row r="178" spans="1:5" ht="39" hidden="1" customHeight="1" thickBot="1" x14ac:dyDescent="0.25">
      <c r="A178" s="40">
        <v>42335</v>
      </c>
      <c r="B178" s="28" t="s">
        <v>29</v>
      </c>
      <c r="C178" s="29" t="s">
        <v>35</v>
      </c>
      <c r="D178" s="30" t="s">
        <v>31</v>
      </c>
      <c r="E178" s="37" t="s">
        <v>233</v>
      </c>
    </row>
    <row r="179" spans="1:5" ht="29.25" hidden="1" customHeight="1" thickBot="1" x14ac:dyDescent="0.25">
      <c r="A179" s="38">
        <v>42335</v>
      </c>
      <c r="B179" s="31" t="s">
        <v>29</v>
      </c>
      <c r="C179" s="32" t="s">
        <v>234</v>
      </c>
      <c r="D179" s="33" t="s">
        <v>31</v>
      </c>
      <c r="E179" s="39" t="s">
        <v>235</v>
      </c>
    </row>
    <row r="180" spans="1:5" ht="64.5" hidden="1" customHeight="1" thickBot="1" x14ac:dyDescent="0.25">
      <c r="A180" s="40">
        <v>42335</v>
      </c>
      <c r="B180" s="28" t="s">
        <v>29</v>
      </c>
      <c r="C180" s="29" t="s">
        <v>236</v>
      </c>
      <c r="D180" s="30" t="s">
        <v>31</v>
      </c>
      <c r="E180" s="37" t="s">
        <v>237</v>
      </c>
    </row>
    <row r="181" spans="1:5" ht="29.25" hidden="1" customHeight="1" thickBot="1" x14ac:dyDescent="0.25">
      <c r="A181" s="38">
        <v>42335</v>
      </c>
      <c r="B181" s="31" t="s">
        <v>29</v>
      </c>
      <c r="C181" s="32" t="s">
        <v>238</v>
      </c>
      <c r="D181" s="33" t="s">
        <v>31</v>
      </c>
      <c r="E181" s="39" t="s">
        <v>239</v>
      </c>
    </row>
    <row r="182" spans="1:5" ht="51.75" hidden="1" customHeight="1" thickBot="1" x14ac:dyDescent="0.25">
      <c r="A182" s="40">
        <v>42335</v>
      </c>
      <c r="B182" s="28" t="s">
        <v>29</v>
      </c>
      <c r="C182" s="29" t="s">
        <v>240</v>
      </c>
      <c r="D182" s="30" t="s">
        <v>31</v>
      </c>
      <c r="E182" s="37" t="s">
        <v>82</v>
      </c>
    </row>
    <row r="183" spans="1:5" ht="51.75" hidden="1" customHeight="1" thickBot="1" x14ac:dyDescent="0.25">
      <c r="A183" s="38">
        <v>42337</v>
      </c>
      <c r="B183" s="31" t="s">
        <v>45</v>
      </c>
      <c r="C183" s="32" t="s">
        <v>241</v>
      </c>
      <c r="D183" s="33" t="s">
        <v>22</v>
      </c>
      <c r="E183" s="39"/>
    </row>
    <row r="184" spans="1:5" ht="29.25" customHeight="1" thickBot="1" x14ac:dyDescent="0.25">
      <c r="A184" s="36">
        <v>42338</v>
      </c>
      <c r="B184" s="28" t="s">
        <v>33</v>
      </c>
      <c r="C184" s="29" t="s">
        <v>242</v>
      </c>
      <c r="D184" s="30" t="s">
        <v>27</v>
      </c>
      <c r="E184" s="37"/>
    </row>
    <row r="185" spans="1:5" ht="39" customHeight="1" thickBot="1" x14ac:dyDescent="0.25">
      <c r="A185" s="38">
        <v>42344</v>
      </c>
      <c r="B185" s="31" t="s">
        <v>45</v>
      </c>
      <c r="C185" s="32" t="s">
        <v>243</v>
      </c>
      <c r="D185" s="33" t="s">
        <v>27</v>
      </c>
      <c r="E185" s="39"/>
    </row>
    <row r="186" spans="1:5" ht="64.5" hidden="1" customHeight="1" thickBot="1" x14ac:dyDescent="0.25">
      <c r="A186" s="40">
        <v>42345</v>
      </c>
      <c r="B186" s="28" t="s">
        <v>33</v>
      </c>
      <c r="C186" s="29" t="s">
        <v>244</v>
      </c>
      <c r="D186" s="30" t="s">
        <v>49</v>
      </c>
      <c r="E186" s="37"/>
    </row>
    <row r="187" spans="1:5" ht="64.5" customHeight="1" thickBot="1" x14ac:dyDescent="0.25">
      <c r="A187" s="34">
        <v>42345</v>
      </c>
      <c r="B187" s="25" t="s">
        <v>33</v>
      </c>
      <c r="C187" s="26" t="s">
        <v>245</v>
      </c>
      <c r="D187" s="27" t="s">
        <v>27</v>
      </c>
      <c r="E187" s="35"/>
    </row>
    <row r="188" spans="1:5" ht="77.25" hidden="1" customHeight="1" thickBot="1" x14ac:dyDescent="0.25">
      <c r="A188" s="36">
        <v>42346</v>
      </c>
      <c r="B188" s="28" t="s">
        <v>20</v>
      </c>
      <c r="C188" s="29" t="s">
        <v>246</v>
      </c>
      <c r="D188" s="30" t="s">
        <v>22</v>
      </c>
      <c r="E188" s="37"/>
    </row>
    <row r="189" spans="1:5" ht="64.5" customHeight="1" thickBot="1" x14ac:dyDescent="0.25">
      <c r="A189" s="38">
        <v>42350</v>
      </c>
      <c r="B189" s="31" t="s">
        <v>17</v>
      </c>
      <c r="C189" s="32" t="s">
        <v>247</v>
      </c>
      <c r="D189" s="33" t="s">
        <v>27</v>
      </c>
      <c r="E189" s="39"/>
    </row>
    <row r="190" spans="1:5" ht="51.75" hidden="1" customHeight="1" thickBot="1" x14ac:dyDescent="0.25">
      <c r="A190" s="40">
        <v>42352</v>
      </c>
      <c r="B190" s="28" t="s">
        <v>33</v>
      </c>
      <c r="C190" s="29" t="s">
        <v>248</v>
      </c>
      <c r="D190" s="30" t="s">
        <v>49</v>
      </c>
      <c r="E190" s="37"/>
    </row>
    <row r="191" spans="1:5" ht="64.5" customHeight="1" thickBot="1" x14ac:dyDescent="0.25">
      <c r="A191" s="38">
        <v>42355</v>
      </c>
      <c r="B191" s="31" t="s">
        <v>15</v>
      </c>
      <c r="C191" s="32" t="s">
        <v>249</v>
      </c>
      <c r="D191" s="33" t="s">
        <v>27</v>
      </c>
      <c r="E191" s="39"/>
    </row>
    <row r="192" spans="1:5" ht="39" customHeight="1" thickBot="1" x14ac:dyDescent="0.25">
      <c r="A192" s="40">
        <v>42355</v>
      </c>
      <c r="B192" s="28" t="s">
        <v>15</v>
      </c>
      <c r="C192" s="29" t="s">
        <v>250</v>
      </c>
      <c r="D192" s="30" t="s">
        <v>27</v>
      </c>
      <c r="E192" s="37"/>
    </row>
    <row r="193" spans="1:5" ht="39" hidden="1" customHeight="1" thickBot="1" x14ac:dyDescent="0.25">
      <c r="A193" s="34">
        <v>42360</v>
      </c>
      <c r="B193" s="25" t="s">
        <v>20</v>
      </c>
      <c r="C193" s="26" t="s">
        <v>251</v>
      </c>
      <c r="D193" s="27" t="s">
        <v>80</v>
      </c>
      <c r="E193" s="35"/>
    </row>
    <row r="194" spans="1:5" ht="51.75" hidden="1" customHeight="1" thickBot="1" x14ac:dyDescent="0.25">
      <c r="A194" s="36">
        <v>42362</v>
      </c>
      <c r="B194" s="28" t="s">
        <v>15</v>
      </c>
      <c r="C194" s="29" t="s">
        <v>18</v>
      </c>
      <c r="D194" s="30" t="s">
        <v>19</v>
      </c>
      <c r="E194" s="37"/>
    </row>
    <row r="195" spans="1:5" ht="100.5" hidden="1" customHeight="1" thickBot="1" x14ac:dyDescent="0.25">
      <c r="A195" s="34">
        <v>42362</v>
      </c>
      <c r="B195" s="25" t="s">
        <v>15</v>
      </c>
      <c r="C195" s="26" t="s">
        <v>252</v>
      </c>
      <c r="D195" s="27" t="s">
        <v>31</v>
      </c>
      <c r="E195" s="35" t="s">
        <v>253</v>
      </c>
    </row>
    <row r="196" spans="1:5" ht="57.75" hidden="1" customHeight="1" thickBot="1" x14ac:dyDescent="0.25">
      <c r="A196" s="36">
        <v>42362</v>
      </c>
      <c r="B196" s="28" t="s">
        <v>15</v>
      </c>
      <c r="C196" s="29" t="s">
        <v>252</v>
      </c>
      <c r="D196" s="30" t="s">
        <v>97</v>
      </c>
      <c r="E196" s="37"/>
    </row>
    <row r="197" spans="1:5" ht="43.5" hidden="1" customHeight="1" thickBot="1" x14ac:dyDescent="0.25">
      <c r="A197" s="34">
        <v>42362</v>
      </c>
      <c r="B197" s="25" t="s">
        <v>15</v>
      </c>
      <c r="C197" s="26" t="s">
        <v>254</v>
      </c>
      <c r="D197" s="27" t="s">
        <v>31</v>
      </c>
      <c r="E197" s="35" t="s">
        <v>255</v>
      </c>
    </row>
    <row r="198" spans="1:5" ht="43.5" hidden="1" thickBot="1" x14ac:dyDescent="0.25">
      <c r="A198" s="36">
        <v>42363</v>
      </c>
      <c r="B198" s="28" t="s">
        <v>29</v>
      </c>
      <c r="C198" s="47" t="s">
        <v>256</v>
      </c>
      <c r="D198" s="30" t="s">
        <v>257</v>
      </c>
      <c r="E198" s="37"/>
    </row>
    <row r="199" spans="1:5" ht="38.25" customHeight="1" thickBot="1" x14ac:dyDescent="0.25">
      <c r="A199" s="34">
        <v>42364</v>
      </c>
      <c r="B199" s="25" t="s">
        <v>17</v>
      </c>
      <c r="C199" s="26" t="s">
        <v>258</v>
      </c>
      <c r="D199" s="27" t="s">
        <v>27</v>
      </c>
      <c r="E199" s="35"/>
    </row>
    <row r="200" spans="1:5" ht="51.75" customHeight="1" thickBot="1" x14ac:dyDescent="0.25">
      <c r="A200" s="36">
        <v>42364</v>
      </c>
      <c r="B200" s="28" t="s">
        <v>17</v>
      </c>
      <c r="C200" s="29" t="s">
        <v>259</v>
      </c>
      <c r="D200" s="30" t="s">
        <v>27</v>
      </c>
      <c r="E200" s="37"/>
    </row>
    <row r="201" spans="1:5" ht="57" hidden="1" customHeight="1" x14ac:dyDescent="0.2">
      <c r="A201" s="34">
        <v>42364</v>
      </c>
      <c r="B201" s="25" t="s">
        <v>17</v>
      </c>
      <c r="C201" s="26" t="s">
        <v>259</v>
      </c>
      <c r="D201" s="27" t="s">
        <v>31</v>
      </c>
      <c r="E201" s="35" t="s">
        <v>260</v>
      </c>
    </row>
    <row r="202" spans="1:5" ht="39" customHeight="1" thickBot="1" x14ac:dyDescent="0.25">
      <c r="A202" s="36">
        <v>42369</v>
      </c>
      <c r="B202" s="28" t="s">
        <v>15</v>
      </c>
      <c r="C202" s="29" t="s">
        <v>261</v>
      </c>
      <c r="D202" s="30" t="s">
        <v>27</v>
      </c>
      <c r="E202" s="37"/>
    </row>
    <row r="203" spans="1:5" ht="39" hidden="1" customHeight="1" thickBot="1" x14ac:dyDescent="0.25">
      <c r="A203" s="41">
        <v>42369</v>
      </c>
      <c r="B203" s="42" t="s">
        <v>15</v>
      </c>
      <c r="C203" s="43" t="s">
        <v>261</v>
      </c>
      <c r="D203" s="44" t="s">
        <v>31</v>
      </c>
      <c r="E203" s="45" t="s">
        <v>262</v>
      </c>
    </row>
  </sheetData>
  <autoFilter ref="A1:E203">
    <filterColumn colId="3">
      <filters>
        <filter val="Observance"/>
      </filters>
    </filterColumn>
  </autoFilter>
  <mergeCells count="4">
    <mergeCell ref="A1:A2"/>
    <mergeCell ref="B1:B2"/>
    <mergeCell ref="D1:D2"/>
    <mergeCell ref="E1:E2"/>
  </mergeCells>
  <hyperlinks>
    <hyperlink ref="C3" r:id="rId1" display="http://www.timeanddate.com/holidays/us/new-year-day"/>
    <hyperlink ref="C4" r:id="rId2" display="http://www.timeanddate.com/holidays/us/prophet-birthday"/>
    <hyperlink ref="C5" r:id="rId3" display="http://www.timeanddate.com/holidays/us/epiphany"/>
    <hyperlink ref="C6" r:id="rId4" display="http://www.timeanddate.com/holidays/us/orthodox-christmas-day"/>
    <hyperlink ref="C7" r:id="rId5" display="http://www.timeanddate.com/holidays/us/stephen-foster-memorial-day"/>
    <hyperlink ref="C8" r:id="rId6" display="http://www.timeanddate.com/holidays/us/orthodox-new-year"/>
    <hyperlink ref="C9" r:id="rId7" display="http://www.timeanddate.com/holidays/us/lee-jackson-day"/>
    <hyperlink ref="C10" r:id="rId8" display="http://www.timeanddate.com/holidays/us/martin-luther-king-day"/>
    <hyperlink ref="C11" r:id="rId9" display="http://www.timeanddate.com/holidays/us/robert-e-lee-birthday"/>
    <hyperlink ref="C12" r:id="rId10" display="http://www.timeanddate.com/holidays/us/robert-e-lee-birthday"/>
    <hyperlink ref="C13" r:id="rId11" display="http://www.timeanddate.com/holidays/us/confederate-memorial-day"/>
    <hyperlink ref="C14" r:id="rId12" display="http://www.timeanddate.com/holidays/us/idaho-human-rights-day"/>
    <hyperlink ref="C15" r:id="rId13" display="http://www.timeanddate.com/holidays/us/civil-rights-day"/>
    <hyperlink ref="C16" r:id="rId14" display="http://www.timeanddate.com/holidays/us/kansas-day"/>
    <hyperlink ref="C17" r:id="rId15" display="http://www.timeanddate.com/holidays/us/national-freedom-day"/>
    <hyperlink ref="C18" r:id="rId16" display="http://www.timeanddate.com/holidays/us/groundhog-day"/>
    <hyperlink ref="C19" r:id="rId17" display="http://www.timeanddate.com/holidays/us/tu-bshevat"/>
    <hyperlink ref="C20" r:id="rId18" display="http://www.timeanddate.com/holidays/us/rosa-parks-day"/>
    <hyperlink ref="C21" r:id="rId19" display="http://www.timeanddate.com/holidays/us/national-wear-red-day"/>
    <hyperlink ref="C22" r:id="rId20" display="http://www.timeanddate.com/holidays/us/lincolns-birthday"/>
    <hyperlink ref="C23" r:id="rId21" display="http://www.timeanddate.com/holidays/us/lincolns-birthday"/>
    <hyperlink ref="C24" r:id="rId22" display="http://www.timeanddate.com/holidays/us/valentine-day"/>
    <hyperlink ref="C25" r:id="rId23" display="http://www.timeanddate.com/holidays/us/susan-b-anthony-day"/>
    <hyperlink ref="C26" r:id="rId24" display="http://www.timeanddate.com/holidays/us/washington-birthday"/>
    <hyperlink ref="C27" r:id="rId25" display="http://www.timeanddate.com/holidays/us/daisy-gatson-bates-day"/>
    <hyperlink ref="C28" r:id="rId26" display="http://www.timeanddate.com/holidays/us/shrove-tuesday"/>
    <hyperlink ref="C29" r:id="rId27" display="http://www.timeanddate.com/holidays/us/shrove-tuesday"/>
    <hyperlink ref="C30" r:id="rId28" display="http://www.timeanddate.com/holidays/us/shrove-tuesday"/>
    <hyperlink ref="C31" r:id="rId29" display="http://www.timeanddate.com/holidays/us/ash-wednesday"/>
    <hyperlink ref="C32" r:id="rId30" display="http://www.timeanddate.com/holidays/us/chinese-new-year"/>
    <hyperlink ref="C33" r:id="rId31" display="http://www.timeanddate.com/holidays/us/st-david-day"/>
    <hyperlink ref="C34" r:id="rId32" display="http://www.timeanddate.com/holidays/us/texas-independence-day"/>
    <hyperlink ref="C35" r:id="rId33" display="http://www.timeanddate.com/holidays/us/casimir-pulaski-day"/>
    <hyperlink ref="C36" r:id="rId34" display="http://www.timeanddate.com/holidays/us/read-across-america-day"/>
    <hyperlink ref="C37" r:id="rId35" display="http://www.timeanddate.com/holidays/us/town-meeting-day-vermont"/>
    <hyperlink ref="C38" r:id="rId36" display="http://www.timeanddate.com/holidays/us/purim"/>
    <hyperlink ref="C39" r:id="rId37" display="http://www.timeanddate.com/holidays/us/employee-appreciation-day"/>
    <hyperlink ref="C40" r:id="rId38" display="http://www.timeanddate.com/time/change/usa/new-york"/>
    <hyperlink ref="C41" r:id="rId39" display="http://www.timeanddate.com/holidays/us/st-patrick-day"/>
    <hyperlink ref="C42" r:id="rId40" display="http://www.timeanddate.com/holidays/us/evacuation-day"/>
    <hyperlink ref="C43" r:id="rId41" display="http://www.timeanddate.com/calendar/march-equinox.html"/>
    <hyperlink ref="C44" r:id="rId42" display="http://www.timeanddate.com/holidays/us/maryland-day"/>
    <hyperlink ref="C45" r:id="rId43" display="http://www.timeanddate.com/holidays/us/prince-jonah-kuhio-kalanianaole-day"/>
    <hyperlink ref="C46" r:id="rId44" display="http://www.timeanddate.com/holidays/us/palm-sunday"/>
    <hyperlink ref="C47" r:id="rId45" display="http://www.timeanddate.com/holidays/us/sewards-day"/>
    <hyperlink ref="C48" r:id="rId46" display="http://www.timeanddate.com/holidays/us/cesar-chavez-day"/>
    <hyperlink ref="C49" r:id="rId47" display="http://www.timeanddate.com/holidays/us/maundy-thursday"/>
    <hyperlink ref="C50" r:id="rId48" display="http://www.timeanddate.com/holidays/us/pascua-florida-day"/>
    <hyperlink ref="C51" r:id="rId49" display="http://www.timeanddate.com/holidays/us/good-friday"/>
    <hyperlink ref="C52" r:id="rId50" display="http://www.timeanddate.com/holidays/us/holy-saturday"/>
    <hyperlink ref="C53" r:id="rId51" display="http://www.timeanddate.com/holidays/us/first-day-of-passover"/>
    <hyperlink ref="C54" r:id="rId52" display="http://www.timeanddate.com/holidays/us/easter-sunday"/>
    <hyperlink ref="C55" r:id="rId53" display="http://www.timeanddate.com/holidays/us/easter-monday"/>
    <hyperlink ref="C56" r:id="rId54" display="http://www.timeanddate.com/holidays/us/national-tartan-day"/>
    <hyperlink ref="C57" r:id="rId55" display="http://www.timeanddate.com/holidays/us/orthodox-good-friday"/>
    <hyperlink ref="C58" r:id="rId56" display="http://www.timeanddate.com/holidays/us/last-day-of-passover"/>
    <hyperlink ref="C59" r:id="rId57" display="http://www.timeanddate.com/holidays/us/orthodox-holy-saturday"/>
    <hyperlink ref="C60" r:id="rId58" display="http://www.timeanddate.com/holidays/us/orthodox-easter-day"/>
    <hyperlink ref="C61" r:id="rId59" display="http://www.timeanddate.com/holidays/us/orthodox-easter-monday"/>
    <hyperlink ref="C62" r:id="rId60" display="http://www.timeanddate.com/holidays/us/thomas-jefferson-birthday"/>
    <hyperlink ref="C63" r:id="rId61" display="http://www.timeanddate.com/holidays/us/yom-hashoah"/>
    <hyperlink ref="C64" r:id="rId62" display="http://www.timeanddate.com/holidays/us/tax-day"/>
    <hyperlink ref="C65" r:id="rId63" display="http://www.timeanddate.com/holidays/us/father-damien-day"/>
    <hyperlink ref="C66" r:id="rId64" display="http://www.timeanddate.com/holidays/us/emancipation-day-dc"/>
    <hyperlink ref="C67" r:id="rId65" display="http://www.timeanddate.com/holidays/us/patriots-day"/>
    <hyperlink ref="C68" r:id="rId66" display="http://www.timeanddate.com/holidays/us/san-jacinto-day"/>
    <hyperlink ref="C69" r:id="rId67" display="http://www.timeanddate.com/holidays/us/national-library-workers-day"/>
    <hyperlink ref="C70" r:id="rId68" display="http://www.timeanddate.com/holidays/us/oklahoma-day"/>
    <hyperlink ref="C71" r:id="rId69" display="http://www.timeanddate.com/holidays/us/administrative-professionals-day"/>
    <hyperlink ref="C72" r:id="rId70" display="http://www.timeanddate.com/holidays/us/yom-haatzmaut"/>
    <hyperlink ref="C73" r:id="rId71" display="http://www.timeanddate.com/holidays/us/arbor-day-nebraska"/>
    <hyperlink ref="C74" r:id="rId72" display="http://www.timeanddate.com/holidays/us/confederate-memorial-day"/>
    <hyperlink ref="C75" r:id="rId73" display="http://www.timeanddate.com/holidays/us/confederate-memorial-day"/>
    <hyperlink ref="C76" r:id="rId74" display="http://www.timeanddate.com/holidays/us/confederate-memorial-day"/>
    <hyperlink ref="C77" r:id="rId75" display="http://www.timeanddate.com/holidays/us/law-day"/>
    <hyperlink ref="C78" r:id="rId76" display="http://www.timeanddate.com/holidays/us/loyalty-day"/>
    <hyperlink ref="C79" r:id="rId77" display="http://www.timeanddate.com/holidays/us/national-explosive-ordnance-disposal-day"/>
    <hyperlink ref="C80" r:id="rId78" display="http://www.timeanddate.com/holidays/us/rhode-island-independence-day"/>
    <hyperlink ref="C81" r:id="rId79" display="http://www.timeanddate.com/holidays/us/cinco-de-mayo"/>
    <hyperlink ref="C82" r:id="rId80" display="http://www.timeanddate.com/holidays/us/primary-election-indiana"/>
    <hyperlink ref="C83" r:id="rId81" display="http://www.timeanddate.com/holidays/us/national-nurses-day"/>
    <hyperlink ref="C84" r:id="rId82" display="http://www.timeanddate.com/holidays/us/lag-b-omer"/>
    <hyperlink ref="C85" r:id="rId83" display="http://www.timeanddate.com/holidays/us/national-day-prayer"/>
    <hyperlink ref="C86" r:id="rId84" display="http://www.timeanddate.com/holidays/us/truman-day"/>
    <hyperlink ref="C87" r:id="rId85" display="http://www.timeanddate.com/holidays/us/mothers-day"/>
    <hyperlink ref="C88" r:id="rId86" display="http://www.timeanddate.com/holidays/us/confederate-memorial-day"/>
    <hyperlink ref="C89" r:id="rId87" display="http://www.timeanddate.com/holidays/us/confederate-memorial-day"/>
    <hyperlink ref="C90" r:id="rId88" display="http://www.timeanddate.com/holidays/us/confederate-memorial-day"/>
    <hyperlink ref="C91" r:id="rId89" display="http://www.timeanddate.com/holidays/us/ascension-day"/>
    <hyperlink ref="C92" r:id="rId90" display="http://www.timeanddate.com/holidays/us/peace-officers-memorial-day"/>
    <hyperlink ref="C93" r:id="rId91" display="http://www.timeanddate.com/holidays/us/national-defense-transportation-day"/>
    <hyperlink ref="C94" r:id="rId92" display="http://www.timeanddate.com/holidays/us/isra-miraj"/>
    <hyperlink ref="C95" r:id="rId93" display="http://www.timeanddate.com/holidays/us/armed-forces-day"/>
    <hyperlink ref="C96" r:id="rId94" display="http://www.timeanddate.com/holidays/us/medical-service-children-day"/>
    <hyperlink ref="C97" r:id="rId95" display="http://www.timeanddate.com/holidays/us/national-maritime-day"/>
    <hyperlink ref="C98" r:id="rId96" display="http://www.timeanddate.com/holidays/us/harvey-milk-day"/>
    <hyperlink ref="C99" r:id="rId97" display="http://www.timeanddate.com/holidays/us/pentecost"/>
    <hyperlink ref="C100" r:id="rId98" display="http://www.timeanddate.com/holidays/us/shavuot"/>
    <hyperlink ref="C101" r:id="rId99" display="http://www.timeanddate.com/holidays/us/whit-monday"/>
    <hyperlink ref="C102" r:id="rId100" display="http://www.timeanddate.com/holidays/us/memorial-day"/>
    <hyperlink ref="C103" r:id="rId101" display="http://www.timeanddate.com/holidays/us/jefferson-davis-birthday"/>
    <hyperlink ref="C104" r:id="rId102" display="http://www.timeanddate.com/holidays/us/national-missing-children-day"/>
    <hyperlink ref="C105" r:id="rId103" display="http://www.timeanddate.com/holidays/us/trinity-sunday"/>
    <hyperlink ref="C106" r:id="rId104" display="http://www.timeanddate.com/holidays/us/statehood-day"/>
    <hyperlink ref="C107" r:id="rId105" display="http://www.timeanddate.com/holidays/us/jefferson-davis-birthday"/>
    <hyperlink ref="C108" r:id="rId106" display="http://www.timeanddate.com/holidays/us/jefferson-davis-birthday"/>
    <hyperlink ref="C109" r:id="rId107" display="http://www.timeanddate.com/holidays/us/corpus-christi"/>
    <hyperlink ref="C110" r:id="rId108" display="http://www.timeanddate.com/holidays/us/d-day"/>
    <hyperlink ref="C111" r:id="rId109" display="http://www.timeanddate.com/holidays/us/kamehameha-day"/>
    <hyperlink ref="C112" r:id="rId110" display="http://www.timeanddate.com/holidays/us/flag-day"/>
    <hyperlink ref="C113" r:id="rId111" display="http://www.timeanddate.com/holidays/us/bunker-hill-day"/>
    <hyperlink ref="C114" r:id="rId112" display="http://www.timeanddate.com/holidays/us/ramadan-begins"/>
    <hyperlink ref="C115" r:id="rId113" display="http://www.timeanddate.com/holidays/us/juneteenth"/>
    <hyperlink ref="C116" r:id="rId114" display="http://www.timeanddate.com/holidays/us/juneteenth"/>
    <hyperlink ref="C117" r:id="rId115" display="http://www.timeanddate.com/holidays/us/west-virginia-day"/>
    <hyperlink ref="C118" r:id="rId116" display="http://www.timeanddate.com/calendar/june-solstice.html"/>
    <hyperlink ref="C119" r:id="rId117" display="http://www.timeanddate.com/holidays/us/fathers-day"/>
    <hyperlink ref="C120" r:id="rId118" display="http://www.timeanddate.com/holidays/us/independence-day"/>
    <hyperlink ref="C121" r:id="rId119" display="http://www.timeanddate.com/holidays/us/independence-day"/>
    <hyperlink ref="C122" r:id="rId120" display="http://www.timeanddate.com/holidays/us/laylat-al-qadr"/>
    <hyperlink ref="C123" r:id="rId121" display="http://www.timeanddate.com/holidays/us/eid-al-fitr"/>
    <hyperlink ref="C124" r:id="rId122" display="http://www.timeanddate.com/holidays/us/pioneer-day"/>
    <hyperlink ref="C125" r:id="rId123" display="http://www.timeanddate.com/holidays/us/tisha-b-av"/>
    <hyperlink ref="C126" r:id="rId124" display="http://www.timeanddate.com/holidays/us/parents-day"/>
    <hyperlink ref="C127" r:id="rId125" display="http://www.timeanddate.com/holidays/us/colorado-day"/>
    <hyperlink ref="C128" r:id="rId126" display="http://www.timeanddate.com/holidays/us/victory-day"/>
    <hyperlink ref="C129" r:id="rId127" display="http://www.timeanddate.com/holidays/us/assumption-of-mary"/>
    <hyperlink ref="C130" r:id="rId128" display="http://www.timeanddate.com/holidays/us/bennington-battle-day"/>
    <hyperlink ref="C131" r:id="rId129" display="http://www.timeanddate.com/holidays/us/bennington-battle-day"/>
    <hyperlink ref="C132" r:id="rId130" display="http://www.timeanddate.com/holidays/us/national-aviation-day"/>
    <hyperlink ref="C133" r:id="rId131" display="http://www.timeanddate.com/holidays/us/hawaii-statehood-day"/>
    <hyperlink ref="C134" r:id="rId132" display="http://www.timeanddate.com/holidays/us/senior-citizens-day"/>
    <hyperlink ref="C135" r:id="rId133" display="http://www.timeanddate.com/holidays/us/women-equality-day"/>
    <hyperlink ref="C136" r:id="rId134" display="http://www.timeanddate.com/holidays/us/lyndon-baines-johnson-day"/>
    <hyperlink ref="C137" r:id="rId135" display="http://www.timeanddate.com/holidays/us/labor-day"/>
    <hyperlink ref="C138" r:id="rId136" display="http://www.timeanddate.com/holidays/us/california-admission-day"/>
    <hyperlink ref="C139" r:id="rId137" display="http://www.timeanddate.com/holidays/us/patriot-day"/>
    <hyperlink ref="C140" r:id="rId138" display="http://www.timeanddate.com/holidays/us/carl-garner-cleanup-day"/>
    <hyperlink ref="C141" r:id="rId139" display="http://www.timeanddate.com/holidays/us/national-grandparents-day"/>
    <hyperlink ref="C142" r:id="rId140" display="http://www.timeanddate.com/holidays/us/rosh-hashana"/>
    <hyperlink ref="C143" r:id="rId141" display="http://www.timeanddate.com/holidays/us/rosh-hashana"/>
    <hyperlink ref="C144" r:id="rId142" display="http://www.timeanddate.com/holidays/us/constitution-citizenship-day"/>
    <hyperlink ref="C145" r:id="rId143" display="http://www.timeanddate.com/holidays/us/pow-mia-recognition-day"/>
    <hyperlink ref="C146" r:id="rId144" display="http://www.timeanddate.com/holidays/us/emancipation-day-oh"/>
    <hyperlink ref="C147" r:id="rId145" display="http://www.timeanddate.com/holidays/us/yom-kippur"/>
    <hyperlink ref="C148" r:id="rId146" display="http://www.timeanddate.com/holidays/us/yom-kippur"/>
    <hyperlink ref="C149" r:id="rId147" display="http://www.timeanddate.com/calendar/september-equinox.html"/>
    <hyperlink ref="C150" r:id="rId148" display="http://www.timeanddate.com/holidays/us/eid-al-adha"/>
    <hyperlink ref="C151" r:id="rId149" display="http://www.timeanddate.com/holidays/us/native-americans-day"/>
    <hyperlink ref="C152" r:id="rId150" display="http://www.timeanddate.com/holidays/us/gold-star-mothers-day"/>
    <hyperlink ref="C153" r:id="rId151" display="http://www.timeanddate.com/holidays/us/sukkot"/>
    <hyperlink ref="C154" r:id="rId152" display="http://www.timeanddate.com/holidays/us/st-francis-assisi-feast"/>
    <hyperlink ref="C155" r:id="rId153" display="http://www.timeanddate.com/holidays/us/last-day-of-sukkot"/>
    <hyperlink ref="C156" r:id="rId154" display="http://www.timeanddate.com/holidays/us/shmini-atzeret"/>
    <hyperlink ref="C157" r:id="rId155" display="http://www.timeanddate.com/holidays/us/child-health-day"/>
    <hyperlink ref="C158" r:id="rId156" display="http://www.timeanddate.com/holidays/us/simchat-torah"/>
    <hyperlink ref="C159" r:id="rId157" display="http://www.timeanddate.com/holidays/us/leif-erikson-day"/>
    <hyperlink ref="C160" r:id="rId158" display="http://www.timeanddate.com/holidays/us/columbus-day"/>
    <hyperlink ref="C161" r:id="rId159" display="http://www.timeanddate.com/holidays/us/columbus-day"/>
    <hyperlink ref="C162" r:id="rId160" display="http://www.timeanddate.com/holidays/us/native-americans-day"/>
    <hyperlink ref="C163" r:id="rId161" display="http://www.timeanddate.com/holidays/us/native-americans-day"/>
    <hyperlink ref="C164" r:id="rId162" display="http://www.timeanddate.com/holidays/us/muharram-new-year"/>
    <hyperlink ref="C165" r:id="rId163" display="http://www.timeanddate.com/holidays/us/white-cane-safety-day"/>
    <hyperlink ref="C166" r:id="rId164" display="http://www.timeanddate.com/holidays/us/boss-day"/>
    <hyperlink ref="C167" r:id="rId165" display="http://www.timeanddate.com/holidays/us/alaska-day"/>
    <hyperlink ref="C168" r:id="rId166" display="http://www.timeanddate.com/holidays/us/alaska-day"/>
    <hyperlink ref="C169" r:id="rId167" display="http://www.timeanddate.com/holidays/us/nevada-day"/>
    <hyperlink ref="C170" r:id="rId168" display="http://www.timeanddate.com/holidays/us/halloween"/>
    <hyperlink ref="C171" r:id="rId169" display="http://www.timeanddate.com/holidays/us/all-saints-day"/>
    <hyperlink ref="C172" r:id="rId170" display="http://www.timeanddate.com/time/change/usa/new-york"/>
    <hyperlink ref="C173" r:id="rId171" display="http://www.timeanddate.com/holidays/us/all-souls-day"/>
    <hyperlink ref="C174" r:id="rId172" display="http://www.timeanddate.com/holidays/us/election-day"/>
    <hyperlink ref="C175" r:id="rId173" display="http://www.timeanddate.com/holidays/us/veterans-day"/>
    <hyperlink ref="C176" r:id="rId174" display="http://www.timeanddate.com/holidays/us/diwali"/>
    <hyperlink ref="C177" r:id="rId175" display="http://www.timeanddate.com/holidays/us/thanksgiving-day"/>
    <hyperlink ref="C178" r:id="rId176" display="http://www.timeanddate.com/holidays/us/robert-e-lee-birthday"/>
    <hyperlink ref="C179" r:id="rId177" display="http://www.timeanddate.com/holidays/us/lincolns-birthday"/>
    <hyperlink ref="C180" r:id="rId178" display="http://www.timeanddate.com/holidays/us/lincolns-birthday"/>
    <hyperlink ref="C181" r:id="rId179" display="http://www.timeanddate.com/holidays/us/black-friday"/>
    <hyperlink ref="C182" r:id="rId180" display="http://www.timeanddate.com/holidays/us/american-indian-heritage-day"/>
    <hyperlink ref="C183" r:id="rId181" display="http://www.timeanddate.com/holidays/us/first-sunday-advent"/>
    <hyperlink ref="C184" r:id="rId182" display="http://www.timeanddate.com/holidays/us/cyber-monday"/>
    <hyperlink ref="C185" r:id="rId183" display="http://www.timeanddate.com/holidays/us/st-nicholas-day"/>
    <hyperlink ref="C186" r:id="rId184" display="http://www.timeanddate.com/holidays/us/chanukah"/>
    <hyperlink ref="C187" r:id="rId185" display="http://www.timeanddate.com/holidays/us/pearl-harbor-remembrance-day"/>
    <hyperlink ref="C188" r:id="rId186" display="http://www.timeanddate.com/holidays/us/immaculate-conception"/>
    <hyperlink ref="C189" r:id="rId187" display="http://www.timeanddate.com/holidays/us/lady-guadalupe-day"/>
    <hyperlink ref="C190" r:id="rId188" display="http://www.timeanddate.com/holidays/us/last-day-chanukah"/>
    <hyperlink ref="C191" r:id="rId189" display="http://www.timeanddate.com/holidays/us/pan-american-aviation-day"/>
    <hyperlink ref="C192" r:id="rId190" display="http://www.timeanddate.com/holidays/us/wright-brothers-day"/>
    <hyperlink ref="C193" r:id="rId191" display="http://www.timeanddate.com/calendar/december-solstice.html"/>
    <hyperlink ref="C194" r:id="rId192" display="http://www.timeanddate.com/holidays/us/prophet-birthday"/>
    <hyperlink ref="C195" r:id="rId193" display="http://www.timeanddate.com/holidays/us/christmas-eve"/>
    <hyperlink ref="C196" r:id="rId194" display="http://www.timeanddate.com/holidays/us/christmas-eve"/>
    <hyperlink ref="C197" r:id="rId195" display="http://www.timeanddate.com/holidays/us/washington-birthday"/>
    <hyperlink ref="C198" r:id="rId196" display="http://www.timeanddate.com/holidays/us/christmas-day"/>
    <hyperlink ref="C199" r:id="rId197" display="http://www.timeanddate.com/holidays/us/kwanzaa"/>
    <hyperlink ref="C200" r:id="rId198" display="http://www.timeanddate.com/holidays/us/day-after-christmas"/>
    <hyperlink ref="C201" r:id="rId199" display="http://www.timeanddate.com/holidays/us/day-after-christmas"/>
    <hyperlink ref="C202" r:id="rId200" display="http://www.timeanddate.com/holidays/us/new-year-eve"/>
    <hyperlink ref="C203" r:id="rId201" display="http://www.timeanddate.com/holidays/us/new-year-eve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58078A-1747-47D8-97A2-6846AF605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Family Calendar</vt:lpstr>
      <vt:lpstr>Sheet1</vt:lpstr>
      <vt:lpstr>CalendarYear</vt:lpstr>
      <vt:lpstr>ImportantDates</vt:lpstr>
      <vt:lpstr>'Family Calendar'!Print_Area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2015-01-12T22:30:34Z</dcterms:created>
  <dcterms:modified xsi:type="dcterms:W3CDTF">2015-01-13T19:50:07Z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TC025506759991</vt:lpwstr>
  </property>
</Properties>
</file>