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ichael\Desktop\"/>
    </mc:Choice>
  </mc:AlternateContent>
  <bookViews>
    <workbookView xWindow="0" yWindow="0" windowWidth="20490" windowHeight="7755" tabRatio="796"/>
  </bookViews>
  <sheets>
    <sheet name="TestrBot BOM" sheetId="4" r:id="rId1"/>
    <sheet name="Actuator Screw Design" sheetId="6" r:id="rId2"/>
    <sheet name="Signal Condition" sheetId="7" r:id="rId3"/>
    <sheet name="Wiring Diagrams" sheetId="9" r:id="rId4"/>
  </sheets>
  <externalReferences>
    <externalReference r:id="rId5"/>
    <externalReference r:id="rId6"/>
  </externalReferences>
  <definedNames>
    <definedName name="a">[1]Loadcell!$D$14</definedName>
    <definedName name="b">[1]Loadcell!$D$15</definedName>
    <definedName name="bb">[1]Loadcell!$D$9</definedName>
    <definedName name="bigb">[1]Loadcell!#REF!</definedName>
    <definedName name="bobb">[1]Loadcell!$D$10</definedName>
    <definedName name="cee">[1]Loadcell!$D$16</definedName>
    <definedName name="d">[1]Loadcell!$D$8</definedName>
    <definedName name="dime">[1]Loadcell!$D$11</definedName>
    <definedName name="dx">'Signal Condition'!#REF!</definedName>
    <definedName name="e">[1]Loadcell!$D$12</definedName>
    <definedName name="fa">[1]Loadcell!$D$18</definedName>
    <definedName name="faax">#REF!</definedName>
    <definedName name="fb">[1]Loadcell!$D$19</definedName>
    <definedName name="ftot">[1]Loadcell!$D$21</definedName>
    <definedName name="hoc">[1]Loadcell!$F$82</definedName>
    <definedName name="ki">[1]Loadcell!$F$83</definedName>
    <definedName name="p">[1]Loadcell!$D$6</definedName>
    <definedName name="roc">[1]Loadcell!$F$81</definedName>
    <definedName name="t">[1]Loadcell!$D$7</definedName>
    <definedName name="tax">#REF!</definedName>
    <definedName name="w">[1]Loadcell!$D$17</definedName>
    <definedName name="wax">#REF!</definedName>
  </definedNames>
  <calcPr calcId="152511"/>
</workbook>
</file>

<file path=xl/calcChain.xml><?xml version="1.0" encoding="utf-8"?>
<calcChain xmlns="http://schemas.openxmlformats.org/spreadsheetml/2006/main">
  <c r="I35" i="4" l="1"/>
  <c r="H35" i="4"/>
  <c r="G11" i="7" l="1"/>
  <c r="G14" i="7" s="1"/>
  <c r="G16" i="7" l="1"/>
  <c r="G17" i="7" s="1"/>
  <c r="K38" i="6"/>
  <c r="J38" i="6" s="1"/>
  <c r="I38" i="6"/>
  <c r="E49" i="6"/>
  <c r="C49" i="6"/>
  <c r="D44" i="6"/>
  <c r="C38" i="6"/>
  <c r="D32" i="6"/>
  <c r="G38" i="6" s="1"/>
  <c r="H38" i="6" s="1"/>
  <c r="G49" i="6" l="1"/>
  <c r="C44" i="6"/>
  <c r="F44" i="6" s="1"/>
  <c r="E44" i="6"/>
  <c r="J32" i="6"/>
  <c r="E38" i="6"/>
  <c r="G44" i="6" l="1"/>
  <c r="H44" i="6" s="1"/>
  <c r="D7" i="4"/>
  <c r="D5" i="4"/>
  <c r="I45" i="4" l="1"/>
  <c r="I46" i="4" l="1"/>
  <c r="I43" i="4"/>
  <c r="I60" i="4"/>
  <c r="I67" i="4"/>
  <c r="I68" i="4"/>
  <c r="I66" i="4"/>
  <c r="H64" i="4"/>
  <c r="I64" i="4" s="1"/>
  <c r="I63" i="4"/>
  <c r="H62" i="4"/>
  <c r="I62" i="4"/>
  <c r="I52" i="4"/>
  <c r="I51" i="4"/>
  <c r="I50" i="4"/>
  <c r="I53" i="4"/>
  <c r="I24" i="4"/>
  <c r="I30" i="4"/>
  <c r="I34" i="4"/>
  <c r="I29" i="4" l="1"/>
  <c r="I28" i="4"/>
  <c r="I33" i="4"/>
  <c r="I32" i="4"/>
  <c r="I27" i="4"/>
  <c r="I31" i="4"/>
  <c r="I23" i="4"/>
  <c r="I22" i="4"/>
  <c r="I20" i="4"/>
  <c r="I19" i="4"/>
  <c r="H18" i="4"/>
  <c r="I18" i="4" s="1"/>
  <c r="H17" i="4"/>
  <c r="I17" i="4"/>
  <c r="H15" i="4"/>
  <c r="I15" i="4" s="1"/>
  <c r="H14" i="4"/>
  <c r="H13" i="4"/>
  <c r="H12" i="4"/>
  <c r="I65" i="4"/>
  <c r="I26" i="4"/>
  <c r="I42" i="4"/>
  <c r="I44" i="4"/>
  <c r="I47" i="4"/>
  <c r="D6" i="4" s="1"/>
  <c r="I48" i="4"/>
  <c r="I49" i="4"/>
  <c r="H25" i="4"/>
  <c r="I25" i="4" s="1"/>
  <c r="I16" i="4"/>
  <c r="D4" i="4" l="1"/>
  <c r="E4" i="4" s="1"/>
  <c r="I13" i="4"/>
  <c r="I14" i="4"/>
  <c r="I12" i="4" l="1"/>
</calcChain>
</file>

<file path=xl/sharedStrings.xml><?xml version="1.0" encoding="utf-8"?>
<sst xmlns="http://schemas.openxmlformats.org/spreadsheetml/2006/main" count="477" uniqueCount="251">
  <si>
    <t>N/A</t>
  </si>
  <si>
    <t>QTY</t>
  </si>
  <si>
    <t>Part Subtotal</t>
  </si>
  <si>
    <t>Vendor</t>
  </si>
  <si>
    <t>taper lock bushings</t>
  </si>
  <si>
    <t>http://www.mcmaster.com/#57095K185</t>
  </si>
  <si>
    <t>1.25 bore</t>
  </si>
  <si>
    <t>sprockets</t>
  </si>
  <si>
    <t>Ordering Info:</t>
  </si>
  <si>
    <t>Description 2</t>
  </si>
  <si>
    <t>Description 1</t>
  </si>
  <si>
    <t xml:space="preserve">Per Unit Cost </t>
  </si>
  <si>
    <t>TestrBot V1 BOM</t>
  </si>
  <si>
    <t>Sub-Assemblies</t>
  </si>
  <si>
    <t>Sub-Assembly</t>
  </si>
  <si>
    <t>Quantity Needed</t>
  </si>
  <si>
    <t>Frame</t>
  </si>
  <si>
    <t>Actuator</t>
  </si>
  <si>
    <t>Load Fixture</t>
  </si>
  <si>
    <t>Controls</t>
  </si>
  <si>
    <t xml:space="preserve">DRV8825 </t>
  </si>
  <si>
    <t>Stepper Motor Driver, High Current</t>
  </si>
  <si>
    <t>Vendor Link</t>
  </si>
  <si>
    <t>Nema 23</t>
  </si>
  <si>
    <t>Stepper Motor</t>
  </si>
  <si>
    <t>Bearings</t>
  </si>
  <si>
    <t>Amazon</t>
  </si>
  <si>
    <t>http://www.ti.com/product/ina122/samplebuy</t>
  </si>
  <si>
    <t>Texas Instruments</t>
  </si>
  <si>
    <t>Nylon Cone Nut</t>
  </si>
  <si>
    <t>Any Hardware Store</t>
  </si>
  <si>
    <t>http://www.mcmaster.com/#3259T116</t>
  </si>
  <si>
    <t>Feet</t>
  </si>
  <si>
    <t>10.25" of Wood 2x4</t>
  </si>
  <si>
    <t>7" of Wood 2x4</t>
  </si>
  <si>
    <t>Feet Support</t>
  </si>
  <si>
    <t>Bottom Cross Beam</t>
  </si>
  <si>
    <t>10" of Wood 2x4</t>
  </si>
  <si>
    <t>Top Cross Beam</t>
  </si>
  <si>
    <t>Threaded Rod</t>
  </si>
  <si>
    <t>http://www.mcmaster.com/#90034A033</t>
  </si>
  <si>
    <t>http://www.mcmaster.com/#90473A223</t>
  </si>
  <si>
    <t>1/2-13</t>
  </si>
  <si>
    <t>nominal 1/2" ID</t>
  </si>
  <si>
    <t>Carriage Bolt</t>
  </si>
  <si>
    <t>2.5" L x 1/4-20</t>
  </si>
  <si>
    <t>24" L x 1/2-13</t>
  </si>
  <si>
    <t>1/4-20</t>
  </si>
  <si>
    <t>PVC Pipe</t>
  </si>
  <si>
    <t>3/4" Dia, &lt;24" section</t>
  </si>
  <si>
    <t>2" Dia, &lt;24" section.
 (length determined by stroke)</t>
  </si>
  <si>
    <t>608 (sealed is preferred)</t>
  </si>
  <si>
    <t xml:space="preserve">#8-32 </t>
  </si>
  <si>
    <t xml:space="preserve">12" L x #8-32 </t>
  </si>
  <si>
    <t>Jam Nut</t>
  </si>
  <si>
    <t>5/16 -18</t>
  </si>
  <si>
    <t>Standard Nut</t>
  </si>
  <si>
    <t>Standard Washer</t>
  </si>
  <si>
    <t xml:space="preserve">.75" L x #8-32 </t>
  </si>
  <si>
    <t>Bolt</t>
  </si>
  <si>
    <t>1'L x '5/16 -18</t>
  </si>
  <si>
    <t>Small Gear</t>
  </si>
  <si>
    <t>Actuator Base</t>
  </si>
  <si>
    <t>Actuator Top</t>
  </si>
  <si>
    <t>Slider Mount</t>
  </si>
  <si>
    <t>?</t>
  </si>
  <si>
    <t>Printed</t>
  </si>
  <si>
    <t>See STL File</t>
  </si>
  <si>
    <t>Large Gear</t>
  </si>
  <si>
    <t>33% infill, 3 perimeters</t>
  </si>
  <si>
    <t>70% infill, 3 perimeters</t>
  </si>
  <si>
    <t>33% infill,  3 perimeters</t>
  </si>
  <si>
    <t>29 teeth, 33% infill, 3 perimeters</t>
  </si>
  <si>
    <t>15 teeth, 33% infill, 3 perimeters</t>
  </si>
  <si>
    <t>Split Washer</t>
  </si>
  <si>
    <t>#8</t>
  </si>
  <si>
    <t>nominal 5/16" ID</t>
  </si>
  <si>
    <t>1/2 -13</t>
  </si>
  <si>
    <t>Serrated Flange Hex LockNut</t>
  </si>
  <si>
    <t>http://www.mcmaster.com/#94831A661</t>
  </si>
  <si>
    <t>33% infill,  2 perimeters</t>
  </si>
  <si>
    <t>Actuator Accessory Clip 2"</t>
  </si>
  <si>
    <t>Testrbot Button</t>
  </si>
  <si>
    <t>Testrbot Case Mount</t>
  </si>
  <si>
    <t>Testrbot Case</t>
  </si>
  <si>
    <t>Testrbot Case Lid</t>
  </si>
  <si>
    <t>Testrbot D Pad</t>
  </si>
  <si>
    <t>100% infill,  2 perimeters</t>
  </si>
  <si>
    <t>Cooling Fan</t>
  </si>
  <si>
    <t>Signal Amplifier</t>
  </si>
  <si>
    <t>INA122P</t>
  </si>
  <si>
    <t>Arduino Protoboard Shield</t>
  </si>
  <si>
    <t>Arduino LCD Button Shield</t>
  </si>
  <si>
    <t>5 buttons, 16x2 LCD</t>
  </si>
  <si>
    <t>Seeed Version</t>
  </si>
  <si>
    <t>Uno</t>
  </si>
  <si>
    <t>Arduino</t>
  </si>
  <si>
    <t>Power Supply</t>
  </si>
  <si>
    <t>12VDC For Arduino</t>
  </si>
  <si>
    <t>http://www.mcmaster.com/#3310T274</t>
  </si>
  <si>
    <t>Unistrut Slotted Channel</t>
  </si>
  <si>
    <t>7"L x 13/16" x 1-5/8"</t>
  </si>
  <si>
    <t>Strut Mount Clamps</t>
  </si>
  <si>
    <t>http://www.mcmaster.com/#3115T354</t>
  </si>
  <si>
    <t>For &gt;1" Tube OD</t>
  </si>
  <si>
    <t>http://www.mcmaster.com/#4830K175</t>
  </si>
  <si>
    <t>3" L x 1/2 NPT</t>
  </si>
  <si>
    <t>Steep Pipe Nippl</t>
  </si>
  <si>
    <t>Rubber Band</t>
  </si>
  <si>
    <t>~</t>
  </si>
  <si>
    <t>For 1/4"-20 Bolt</t>
  </si>
  <si>
    <t>Socket Cap Screw</t>
  </si>
  <si>
    <t>5/8"L x 1/4-20</t>
  </si>
  <si>
    <t>nominal 1/4" ID</t>
  </si>
  <si>
    <t>Temperature/Humidity Monitor</t>
  </si>
  <si>
    <t>Various Wire Bits &amp; Connectors</t>
  </si>
  <si>
    <t>00613A1 Indoor Model</t>
  </si>
  <si>
    <t>Any Hardware Store/Amazon</t>
  </si>
  <si>
    <t>40mm, 12VDC</t>
  </si>
  <si>
    <t>Capacitor</t>
  </si>
  <si>
    <t>100 Micro-Farads Minimum</t>
  </si>
  <si>
    <t>Any Electronics Store</t>
  </si>
  <si>
    <t>Loadcell</t>
  </si>
  <si>
    <t>24VDC, 2A min,  For Motor</t>
  </si>
  <si>
    <t>200 lb max, Steel, S-Type</t>
  </si>
  <si>
    <t>http://tacunasystems.com/zc/index.php?main_page=product_info&amp;cPath=10_9_14&amp;products_id=37</t>
  </si>
  <si>
    <t>Tacuna Systems</t>
  </si>
  <si>
    <t>Trim Pot</t>
  </si>
  <si>
    <t>1000 Ohm, mult-turn</t>
  </si>
  <si>
    <t>Sub Assembly Cost</t>
  </si>
  <si>
    <t>Total Cost</t>
  </si>
  <si>
    <t>4 point bend spacer .5 hole</t>
  </si>
  <si>
    <t>4 point bend spacer .25 hole</t>
  </si>
  <si>
    <t>100% infill</t>
  </si>
  <si>
    <t>roller alignment jig 4.5in</t>
  </si>
  <si>
    <t>roller alignment jig 1.5in</t>
  </si>
  <si>
    <t>30% infill, 2 perimeters</t>
  </si>
  <si>
    <t>.25in nut</t>
  </si>
  <si>
    <t>Roller Mount</t>
  </si>
  <si>
    <t>40% infill, 3 perimeters</t>
  </si>
  <si>
    <r>
      <t>Press Tab to Cycle Through</t>
    </r>
    <r>
      <rPr>
        <b/>
        <sz val="22"/>
        <color rgb="FFFF0000"/>
        <rFont val="Calibri"/>
        <family val="2"/>
        <scheme val="minor"/>
      </rPr>
      <t xml:space="preserve"> Input Variables</t>
    </r>
  </si>
  <si>
    <t>Ball Screw Best Practices:</t>
  </si>
  <si>
    <t>*Smaller screw leads will reduce maximum linear speed and efficiency while increasing mechanical advantage.
*Increasing a ball screw diameter will increase the critical speed and buckling load. 
*Support the screw properly for it's length and application. 
*Heavy grease is a good general use lubricant for ball screws, unless the environment is particularly dusty in which case use a dry film lubricant.
*Never overload the screw or you risk permanet deformation on the bearings or a bent screw.
*Never ever exceed the critical rotation speed. 
*If avoiding backlash is critical, use preloaded nuts.</t>
  </si>
  <si>
    <r>
      <t xml:space="preserve">*A flexible coupling element </t>
    </r>
    <r>
      <rPr>
        <i/>
        <sz val="11"/>
        <color theme="1"/>
        <rFont val="Calibri"/>
        <family val="2"/>
        <scheme val="minor"/>
      </rPr>
      <t xml:space="preserve">must be </t>
    </r>
    <r>
      <rPr>
        <sz val="11"/>
        <color theme="1"/>
        <rFont val="Calibri"/>
        <family val="2"/>
        <scheme val="minor"/>
      </rPr>
      <t xml:space="preserve">used bewteen the motor and the screw or else the motor speed will be impossible to control and/or the system will be unstable. 
</t>
    </r>
    <r>
      <rPr>
        <b/>
        <sz val="14"/>
        <color theme="1"/>
        <rFont val="Calibri"/>
        <family val="2"/>
        <scheme val="minor"/>
      </rPr>
      <t>Worksheet Notes:</t>
    </r>
    <r>
      <rPr>
        <sz val="11"/>
        <color theme="1"/>
        <rFont val="Calibri"/>
        <family val="2"/>
        <scheme val="minor"/>
      </rPr>
      <t xml:space="preserve">
*This worksheet assumes ballscrews are hardened steel, are properly lubricated, and the setup is adequitely rigid.
*Use the drawing to the right as a reference. You can anlyse your system over distance L1 or L2, just make sure to select the proper end support conditions. 
*Your ball screw system is the most vulnerable to damage when the ball nut is fully extended to one extreme side.</t>
    </r>
  </si>
  <si>
    <t xml:space="preserve">Screw OD </t>
  </si>
  <si>
    <t>Screw Lead</t>
  </si>
  <si>
    <r>
      <t xml:space="preserve">Distance Between Supports </t>
    </r>
    <r>
      <rPr>
        <sz val="12"/>
        <rFont val="Calibri"/>
        <family val="2"/>
        <scheme val="minor"/>
      </rPr>
      <t>(L</t>
    </r>
    <r>
      <rPr>
        <vertAlign val="subscript"/>
        <sz val="12"/>
        <rFont val="Calibri"/>
        <family val="2"/>
        <scheme val="minor"/>
      </rPr>
      <t xml:space="preserve">1 </t>
    </r>
    <r>
      <rPr>
        <sz val="12"/>
        <rFont val="Calibri"/>
        <family val="2"/>
        <scheme val="minor"/>
      </rPr>
      <t>or L</t>
    </r>
    <r>
      <rPr>
        <vertAlign val="subscript"/>
        <sz val="12"/>
        <rFont val="Calibri"/>
        <family val="2"/>
        <scheme val="minor"/>
      </rPr>
      <t>2</t>
    </r>
    <r>
      <rPr>
        <sz val="12"/>
        <rFont val="Calibri"/>
        <family val="2"/>
        <scheme val="minor"/>
      </rPr>
      <t>)</t>
    </r>
  </si>
  <si>
    <r>
      <t xml:space="preserve">End Support Conditions 
</t>
    </r>
    <r>
      <rPr>
        <sz val="12"/>
        <rFont val="Calibri"/>
        <family val="2"/>
        <scheme val="minor"/>
      </rPr>
      <t>(of either L1 or L2)</t>
    </r>
  </si>
  <si>
    <t>Total Sliding Mass</t>
  </si>
  <si>
    <r>
      <t xml:space="preserve">Maximum Acceleration 
</t>
    </r>
    <r>
      <rPr>
        <sz val="10"/>
        <rFont val="Calibri"/>
        <family val="2"/>
        <scheme val="minor"/>
      </rPr>
      <t>(of sliding mass)</t>
    </r>
  </si>
  <si>
    <r>
      <t xml:space="preserve">Screw Efficiency
</t>
    </r>
    <r>
      <rPr>
        <sz val="12"/>
        <rFont val="Calibri"/>
        <family val="2"/>
        <scheme val="minor"/>
      </rPr>
      <t>(Ball screw = 70-95%)
(Lead Screw = 20-40%)</t>
    </r>
  </si>
  <si>
    <t>Lead Angle</t>
  </si>
  <si>
    <t>(in)</t>
  </si>
  <si>
    <t>(in/rot)</t>
  </si>
  <si>
    <t>Pick</t>
  </si>
  <si>
    <t>(lb)</t>
  </si>
  <si>
    <t>(in/sec^2)</t>
  </si>
  <si>
    <t>(%)</t>
  </si>
  <si>
    <t>(deg)</t>
  </si>
  <si>
    <t>Fixed-Free</t>
  </si>
  <si>
    <t>Fixed-Fixed</t>
  </si>
  <si>
    <t>Suported-Supported</t>
  </si>
  <si>
    <t xml:space="preserve"> </t>
  </si>
  <si>
    <t>in/step</t>
  </si>
  <si>
    <t>step /in</t>
  </si>
  <si>
    <t>Fixed-Supported</t>
  </si>
  <si>
    <t>Output Force</t>
  </si>
  <si>
    <t>Output Speed</t>
  </si>
  <si>
    <r>
      <t xml:space="preserve">Gear Ratio 
</t>
    </r>
    <r>
      <rPr>
        <sz val="10"/>
        <rFont val="Calibri"/>
        <family val="2"/>
        <scheme val="minor"/>
      </rPr>
      <t>(input turns/
output turns)</t>
    </r>
  </si>
  <si>
    <t>Rated Continuous Motor Torque</t>
  </si>
  <si>
    <r>
      <t xml:space="preserve">Max Linear Force Output
</t>
    </r>
    <r>
      <rPr>
        <sz val="8"/>
        <rFont val="Calibri"/>
        <family val="2"/>
        <scheme val="minor"/>
      </rPr>
      <t>(compare this to the buckling load below and the rated load of your ball nut.)</t>
    </r>
  </si>
  <si>
    <t>Motor Rated Speed</t>
  </si>
  <si>
    <t>Output Power</t>
  </si>
  <si>
    <t>(#)</t>
  </si>
  <si>
    <t>(in-lb)</t>
  </si>
  <si>
    <t>(RPM)</t>
  </si>
  <si>
    <t>(in/min)</t>
  </si>
  <si>
    <t>(in/sec)</t>
  </si>
  <si>
    <t>Screw Application Details</t>
  </si>
  <si>
    <t>Minimum Required Motor Torque</t>
  </si>
  <si>
    <t>Screw &amp; Guide Frictional Resistance Force</t>
  </si>
  <si>
    <t>Axial Stress</t>
  </si>
  <si>
    <t>Torsional Stress</t>
  </si>
  <si>
    <t>Total Equivilant Stress</t>
  </si>
  <si>
    <t>Factor of Safety (Nut Stress)</t>
  </si>
  <si>
    <t>(psi)</t>
  </si>
  <si>
    <t>(/)</t>
  </si>
  <si>
    <t>Screw Buckling Load &amp; Critical Speed</t>
  </si>
  <si>
    <r>
      <t xml:space="preserve">Buckling Load
</t>
    </r>
    <r>
      <rPr>
        <sz val="12"/>
        <rFont val="Calibri"/>
        <family val="2"/>
        <scheme val="minor"/>
      </rPr>
      <t>(Max Safe Load)</t>
    </r>
  </si>
  <si>
    <r>
      <t xml:space="preserve">Critical Speed
</t>
    </r>
    <r>
      <rPr>
        <sz val="12"/>
        <rFont val="Calibri"/>
        <family val="2"/>
        <scheme val="minor"/>
      </rPr>
      <t>(Max Safe Speed)</t>
    </r>
  </si>
  <si>
    <t>(rpm)</t>
  </si>
  <si>
    <t>SOURCES:</t>
  </si>
  <si>
    <t>http://www.hiwin.com.tw/download/tech_doc/bs/Ballscrew-(E).pdf</t>
  </si>
  <si>
    <t>http://www.learneasy.info/MDME/MEMmods/class_projects/backstop/controller/Topic4-BallscrewCalculations.pdf</t>
  </si>
  <si>
    <t>http://us.misumi-ec.com/pdf/tech/mech/p2799.pdf</t>
  </si>
  <si>
    <t>https://tech.thk.com/en/products/pdf/en_b15_006.pdf</t>
  </si>
  <si>
    <t>(Watt)</t>
  </si>
  <si>
    <t>steps per inch</t>
  </si>
  <si>
    <t>(~)</t>
  </si>
  <si>
    <t>Output Resolution</t>
  </si>
  <si>
    <t>V</t>
  </si>
  <si>
    <t>ohms</t>
  </si>
  <si>
    <t>lb</t>
  </si>
  <si>
    <t>Voltage Output Range</t>
  </si>
  <si>
    <t>Gain</t>
  </si>
  <si>
    <t>lb/V</t>
  </si>
  <si>
    <t xml:space="preserve">Data Acquisition System Resolution </t>
  </si>
  <si>
    <t>Bit</t>
  </si>
  <si>
    <t>(10 bit = 1024 discrete measurements)</t>
  </si>
  <si>
    <t>Resultion of Data Acquisition System</t>
  </si>
  <si>
    <t>lbs</t>
  </si>
  <si>
    <t>(This is the smallest force you can measure)</t>
  </si>
  <si>
    <t>Loadcell Rating</t>
  </si>
  <si>
    <t>Loadcell Sensitivity</t>
  </si>
  <si>
    <t>(This is listed on your loadcell)</t>
  </si>
  <si>
    <t>TestrBot Signal Conditioning Calculations Using the INA122</t>
  </si>
  <si>
    <t>Excitation Voltage</t>
  </si>
  <si>
    <t>(What leaves signal conditioner and goes into the arduino must also be 5V here. )</t>
  </si>
  <si>
    <t>(Vary the resistance of the trimpot to get your desired gain.)</t>
  </si>
  <si>
    <t xml:space="preserve">Maximum Measurable Force </t>
  </si>
  <si>
    <r>
      <t>Actual Trimpot Resistance R</t>
    </r>
    <r>
      <rPr>
        <vertAlign val="subscript"/>
        <sz val="10"/>
        <rFont val="Arial"/>
        <family val="2"/>
      </rPr>
      <t>G</t>
    </r>
  </si>
  <si>
    <t>Limit Switch</t>
  </si>
  <si>
    <t>SPDT, 'micro' size, lever arm</t>
  </si>
  <si>
    <t># of Individual Units Needed</t>
  </si>
  <si>
    <t>Input Variables Shown in Red</t>
  </si>
  <si>
    <t>(This is the important result, it will be typed into the testrbot program to accurately scale the output of the loadcell. )</t>
  </si>
  <si>
    <t>(What goes into the loadcell. This is 5v because I use the arduio Vout to power the loadcell)</t>
  </si>
  <si>
    <t>Final Scale Factor</t>
  </si>
  <si>
    <t>mV</t>
  </si>
  <si>
    <t xml:space="preserve">*Your gain should be set so that the maximum measurable force is equal to (but no greater than) your desired load capacity. If your gain is too low you will reach the physical capacity of your loadcell before you utilize the entire readible 5v signal, resultin gin a loss of resolution. 
**You can however 'cheat up your loadcell' by turning the gain higher than normal to reduce your maximum meaurable force in return for a greater measurement resolution. (You can only divide the signal into a set finite number of bits, so reducing the measurement range also reduces the smallest individual measurement you can make.
***The DPDT switch in the diagram is for changing between sensing compression or tension. To get the most resolution possible the system is wired to use the entire 5V sensing in just one direction. (You could send the loadcell 2.5V and the reading returned would be both tension &amp; compression with half the resolution). </t>
  </si>
  <si>
    <t>For the INA122, Gain = 5 + 200kΩ/RG (This equation came from the INA122 Datasheet)</t>
  </si>
  <si>
    <t>Stepper Motor Driver</t>
  </si>
  <si>
    <t>Load Cell Signal Amplifier</t>
  </si>
  <si>
    <t>Auxiliary Parts</t>
  </si>
  <si>
    <r>
      <t xml:space="preserve">Maximum Possible Linear Speed 
</t>
    </r>
    <r>
      <rPr>
        <sz val="8"/>
        <rFont val="Calibri"/>
        <family val="2"/>
        <scheme val="minor"/>
      </rPr>
      <t>(this will be limited to how fast you can call "stepper.run")</t>
    </r>
  </si>
  <si>
    <t>Motor Drive Specifications (Using the recommended stepper motor)</t>
  </si>
  <si>
    <t>Screw Dimensions</t>
  </si>
  <si>
    <t>*Make sure you use a heatsink on your stepper driver.
*Be careful when adjusting the current screw while the motor is powered up, I accidentally shorted a driver. (Best use a plastic or coated screwdriver!)</t>
  </si>
  <si>
    <t>BROUGHT TO YOU BY:</t>
  </si>
  <si>
    <t>http://amzn.to/2nGLKB1</t>
  </si>
  <si>
    <t>http://amzn.to/2nGGqOd</t>
  </si>
  <si>
    <t>http://amzn.to/2nGUh6U</t>
  </si>
  <si>
    <t>http://amzn.to/2pvKnBM</t>
  </si>
  <si>
    <t>http://amzn.to/2nGK5eB</t>
  </si>
  <si>
    <t>http://amzn.to/2nGHOjx</t>
  </si>
  <si>
    <t>http://amzn.to/1VSnqGa</t>
  </si>
  <si>
    <t>http://amzn.to/1VMqIex</t>
  </si>
  <si>
    <t>http://amzn.to/2o7LkQ5</t>
  </si>
  <si>
    <t>http://amzn.to/2opSpwt</t>
  </si>
  <si>
    <t>http://amzn.to/2pvLaTg</t>
  </si>
  <si>
    <t>http://amzn.to/2o7L8ka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</si>
</sst>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_(&quot;$&quot;* \(#,##0.00\);_(&quot;$&quot;* &quot;-&quot;??_);_(@_)"/>
    <numFmt numFmtId="164" formatCode="&quot;$&quot;#,##0.00"/>
    <numFmt numFmtId="165" formatCode="0.000"/>
    <numFmt numFmtId="166" formatCode="0.0"/>
    <numFmt numFmtId="167" formatCode="#,##0.0"/>
    <numFmt numFmtId="168" formatCode="0.0000"/>
    <numFmt numFmtId="169" formatCode="0.00000"/>
    <numFmt numFmtId="170" formatCode="#,##0.000000"/>
  </numFmts>
  <fonts count="40" x14ac:knownFonts="1">
    <font>
      <sz val="11"/>
      <color theme="1"/>
      <name val="Calibri"/>
      <family val="2"/>
      <scheme val="minor"/>
    </font>
    <font>
      <u/>
      <sz val="11"/>
      <color theme="10"/>
      <name val="Calibri"/>
      <family val="2"/>
    </font>
    <font>
      <sz val="11"/>
      <color theme="1"/>
      <name val="Arial"/>
      <family val="2"/>
    </font>
    <font>
      <b/>
      <sz val="11"/>
      <color theme="1"/>
      <name val="Arial"/>
      <family val="2"/>
    </font>
    <font>
      <b/>
      <sz val="14"/>
      <color theme="1"/>
      <name val="Calibri"/>
      <family val="2"/>
      <scheme val="minor"/>
    </font>
    <font>
      <sz val="11"/>
      <color theme="1"/>
      <name val="Calibri"/>
      <family val="2"/>
      <scheme val="minor"/>
    </font>
    <font>
      <b/>
      <sz val="10"/>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11"/>
      <name val="Calibri"/>
      <family val="2"/>
    </font>
    <font>
      <sz val="22"/>
      <color theme="0"/>
      <name val="Calibri"/>
      <family val="2"/>
      <scheme val="minor"/>
    </font>
    <font>
      <b/>
      <sz val="22"/>
      <color rgb="FFFF0000"/>
      <name val="Calibri"/>
      <family val="2"/>
      <scheme val="minor"/>
    </font>
    <font>
      <sz val="22"/>
      <name val="Calibri"/>
      <family val="2"/>
      <scheme val="minor"/>
    </font>
    <font>
      <sz val="14"/>
      <color theme="1"/>
      <name val="Calibri"/>
      <family val="2"/>
      <scheme val="minor"/>
    </font>
    <font>
      <sz val="14"/>
      <color theme="0"/>
      <name val="Calibri"/>
      <family val="2"/>
      <scheme val="minor"/>
    </font>
    <font>
      <sz val="11"/>
      <name val="Calibri"/>
      <family val="2"/>
      <scheme val="minor"/>
    </font>
    <font>
      <i/>
      <sz val="11"/>
      <color theme="1"/>
      <name val="Calibri"/>
      <family val="2"/>
      <scheme val="minor"/>
    </font>
    <font>
      <b/>
      <sz val="16"/>
      <color theme="1"/>
      <name val="Calibri"/>
      <family val="2"/>
      <scheme val="minor"/>
    </font>
    <font>
      <b/>
      <sz val="12"/>
      <name val="Calibri"/>
      <family val="2"/>
      <scheme val="minor"/>
    </font>
    <font>
      <sz val="12"/>
      <name val="Calibri"/>
      <family val="2"/>
      <scheme val="minor"/>
    </font>
    <font>
      <vertAlign val="subscript"/>
      <sz val="12"/>
      <name val="Calibri"/>
      <family val="2"/>
      <scheme val="minor"/>
    </font>
    <font>
      <sz val="10"/>
      <name val="Calibri"/>
      <family val="2"/>
      <scheme val="minor"/>
    </font>
    <font>
      <b/>
      <sz val="10"/>
      <name val="Calibri"/>
      <family val="2"/>
      <scheme val="minor"/>
    </font>
    <font>
      <b/>
      <sz val="11"/>
      <color rgb="FFFF0000"/>
      <name val="Calibri"/>
      <family val="2"/>
      <scheme val="minor"/>
    </font>
    <font>
      <sz val="8"/>
      <name val="Calibri"/>
      <family val="2"/>
      <scheme val="minor"/>
    </font>
    <font>
      <b/>
      <sz val="16"/>
      <name val="Calibri"/>
      <family val="2"/>
      <scheme val="minor"/>
    </font>
    <font>
      <b/>
      <sz val="12"/>
      <color theme="1"/>
      <name val="Calibri"/>
      <family val="2"/>
      <scheme val="minor"/>
    </font>
    <font>
      <sz val="10"/>
      <name val="Arial"/>
      <family val="2"/>
    </font>
    <font>
      <b/>
      <sz val="10"/>
      <color rgb="FFFF0000"/>
      <name val="Arial"/>
      <family val="2"/>
    </font>
    <font>
      <vertAlign val="subscript"/>
      <sz val="10"/>
      <name val="Arial"/>
      <family val="2"/>
    </font>
    <font>
      <sz val="10"/>
      <color indexed="55"/>
      <name val="Arial"/>
      <family val="2"/>
    </font>
    <font>
      <b/>
      <sz val="11"/>
      <name val="Arial"/>
      <family val="2"/>
    </font>
    <font>
      <sz val="20"/>
      <color theme="0"/>
      <name val="Calibri"/>
      <family val="2"/>
      <scheme val="minor"/>
    </font>
    <font>
      <b/>
      <sz val="20"/>
      <color rgb="FFFF0000"/>
      <name val="Calibri"/>
      <family val="2"/>
      <scheme val="minor"/>
    </font>
    <font>
      <sz val="20"/>
      <color theme="1"/>
      <name val="Calibri"/>
      <family val="2"/>
      <scheme val="minor"/>
    </font>
    <font>
      <b/>
      <sz val="11"/>
      <name val="Calibri"/>
      <family val="2"/>
      <scheme val="minor"/>
    </font>
    <font>
      <b/>
      <sz val="14"/>
      <name val="Calibri"/>
      <family val="2"/>
      <scheme val="minor"/>
    </font>
    <font>
      <b/>
      <sz val="11"/>
      <color theme="0" tint="-0.34998626667073579"/>
      <name val="Arial"/>
      <family val="2"/>
    </font>
  </fonts>
  <fills count="17">
    <fill>
      <patternFill patternType="none"/>
    </fill>
    <fill>
      <patternFill patternType="gray125"/>
    </fill>
    <fill>
      <patternFill patternType="solid">
        <fgColor theme="0" tint="-0.34998626667073579"/>
        <bgColor indexed="64"/>
      </patternFill>
    </fill>
    <fill>
      <patternFill patternType="solid">
        <fgColor theme="1"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7"/>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9" tint="0.7999816888943144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auto="1"/>
      </left>
      <right/>
      <top/>
      <bottom/>
      <diagonal/>
    </border>
    <border>
      <left/>
      <right style="medium">
        <color auto="1"/>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6">
    <xf numFmtId="0" fontId="0" fillId="0" borderId="0"/>
    <xf numFmtId="0" fontId="1" fillId="0" borderId="0" applyNumberFormat="0" applyFill="0" applyBorder="0" applyAlignment="0" applyProtection="0">
      <alignment vertical="top"/>
      <protection locked="0"/>
    </xf>
    <xf numFmtId="44" fontId="5" fillId="0" borderId="0" applyFont="0" applyFill="0" applyBorder="0" applyAlignment="0" applyProtection="0"/>
    <xf numFmtId="9" fontId="5" fillId="0" borderId="0" applyFont="0" applyFill="0" applyBorder="0" applyAlignment="0" applyProtection="0"/>
    <xf numFmtId="0" fontId="10" fillId="0" borderId="0" applyNumberFormat="0" applyFill="0" applyBorder="0" applyAlignment="0" applyProtection="0"/>
    <xf numFmtId="0" fontId="29" fillId="0" borderId="0"/>
  </cellStyleXfs>
  <cellXfs count="161">
    <xf numFmtId="0" fontId="0" fillId="0" borderId="0" xfId="0"/>
    <xf numFmtId="0" fontId="3" fillId="0" borderId="0" xfId="0" applyFont="1" applyAlignment="1">
      <alignment horizontal="center" vertical="center" wrapText="1"/>
    </xf>
    <xf numFmtId="0" fontId="2" fillId="0" borderId="0" xfId="0" applyFont="1" applyAlignment="1">
      <alignment wrapText="1"/>
    </xf>
    <xf numFmtId="0" fontId="2" fillId="2" borderId="1" xfId="0" applyFont="1" applyFill="1" applyBorder="1" applyAlignment="1">
      <alignment horizontal="center" vertical="center" wrapText="1"/>
    </xf>
    <xf numFmtId="0" fontId="2" fillId="2" borderId="0" xfId="0" applyFont="1" applyFill="1" applyAlignment="1">
      <alignment wrapText="1"/>
    </xf>
    <xf numFmtId="0" fontId="1" fillId="2" borderId="1" xfId="1" applyFill="1" applyBorder="1" applyAlignment="1" applyProtection="1">
      <alignment horizontal="center" vertical="center" wrapText="1"/>
    </xf>
    <xf numFmtId="0" fontId="4"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164" fontId="2" fillId="2" borderId="1" xfId="2" applyNumberFormat="1" applyFont="1" applyFill="1" applyBorder="1" applyAlignment="1">
      <alignment horizontal="center" vertical="center" wrapText="1"/>
    </xf>
    <xf numFmtId="0" fontId="2" fillId="4" borderId="0" xfId="0" applyFont="1" applyFill="1" applyAlignment="1">
      <alignment wrapText="1"/>
    </xf>
    <xf numFmtId="0" fontId="3" fillId="4" borderId="0" xfId="0" applyFont="1" applyFill="1" applyAlignment="1">
      <alignment horizontal="center" vertical="center" wrapText="1"/>
    </xf>
    <xf numFmtId="0" fontId="3" fillId="4" borderId="0" xfId="0" applyFont="1" applyFill="1" applyAlignment="1">
      <alignment horizontal="center" wrapText="1"/>
    </xf>
    <xf numFmtId="165" fontId="2" fillId="4" borderId="0" xfId="0" applyNumberFormat="1" applyFont="1" applyFill="1" applyAlignment="1">
      <alignment wrapText="1"/>
    </xf>
    <xf numFmtId="0" fontId="6" fillId="3" borderId="1" xfId="0" applyFont="1" applyFill="1" applyBorder="1" applyAlignment="1">
      <alignment horizontal="center" vertical="center" wrapText="1"/>
    </xf>
    <xf numFmtId="0" fontId="2" fillId="2" borderId="1" xfId="0" quotePrefix="1" applyFont="1" applyFill="1" applyBorder="1" applyAlignment="1">
      <alignment horizontal="center" vertical="center" wrapText="1"/>
    </xf>
    <xf numFmtId="16" fontId="2" fillId="2" borderId="1" xfId="0" quotePrefix="1" applyNumberFormat="1" applyFont="1" applyFill="1" applyBorder="1" applyAlignment="1">
      <alignment horizontal="center" vertical="center" wrapText="1"/>
    </xf>
    <xf numFmtId="0" fontId="0" fillId="4" borderId="0" xfId="0" applyFill="1" applyAlignment="1" applyProtection="1">
      <alignment vertical="center"/>
    </xf>
    <xf numFmtId="0" fontId="12" fillId="4" borderId="0" xfId="0" applyFont="1" applyFill="1" applyAlignment="1" applyProtection="1">
      <alignment vertical="center" wrapText="1"/>
    </xf>
    <xf numFmtId="0" fontId="14" fillId="4" borderId="0" xfId="0" applyFont="1" applyFill="1" applyAlignment="1" applyProtection="1">
      <alignment vertical="center" wrapText="1"/>
    </xf>
    <xf numFmtId="0" fontId="15" fillId="4" borderId="0" xfId="0" applyFont="1" applyFill="1" applyAlignment="1" applyProtection="1">
      <alignment vertical="center" wrapText="1"/>
    </xf>
    <xf numFmtId="0" fontId="12" fillId="4" borderId="0" xfId="0" applyFont="1" applyFill="1" applyAlignment="1">
      <alignment vertical="center" wrapText="1"/>
    </xf>
    <xf numFmtId="0" fontId="14" fillId="4" borderId="0" xfId="0" applyFont="1" applyFill="1" applyAlignment="1">
      <alignment vertical="center" wrapText="1"/>
    </xf>
    <xf numFmtId="0" fontId="0" fillId="4" borderId="0" xfId="0" applyFill="1" applyAlignment="1">
      <alignment vertical="center"/>
    </xf>
    <xf numFmtId="0" fontId="0" fillId="0" borderId="0" xfId="0" applyAlignment="1">
      <alignment vertical="center"/>
    </xf>
    <xf numFmtId="0" fontId="16" fillId="4" borderId="0" xfId="0" applyFont="1" applyFill="1" applyAlignment="1">
      <alignment vertical="center" wrapText="1"/>
    </xf>
    <xf numFmtId="0" fontId="16" fillId="4" borderId="0" xfId="0" applyFont="1" applyFill="1" applyAlignment="1">
      <alignment horizontal="center" vertical="center" wrapText="1"/>
    </xf>
    <xf numFmtId="0" fontId="15" fillId="4" borderId="0" xfId="0" applyFont="1" applyFill="1" applyAlignment="1">
      <alignment vertical="center" wrapText="1"/>
    </xf>
    <xf numFmtId="0" fontId="17" fillId="4" borderId="0" xfId="0" applyFont="1" applyFill="1" applyAlignment="1">
      <alignment vertical="center"/>
    </xf>
    <xf numFmtId="0" fontId="0" fillId="0" borderId="0" xfId="0" applyBorder="1" applyAlignment="1">
      <alignment vertical="center" wrapText="1"/>
    </xf>
    <xf numFmtId="0" fontId="0" fillId="0" borderId="11" xfId="0" applyBorder="1" applyAlignment="1">
      <alignment vertical="center" wrapText="1"/>
    </xf>
    <xf numFmtId="0" fontId="0" fillId="0" borderId="13" xfId="0" applyBorder="1" applyAlignment="1">
      <alignment vertical="center" wrapText="1"/>
    </xf>
    <xf numFmtId="0" fontId="0" fillId="0" borderId="14" xfId="0" applyBorder="1" applyAlignment="1">
      <alignment vertical="center" wrapText="1"/>
    </xf>
    <xf numFmtId="0" fontId="15" fillId="4" borderId="0" xfId="0" applyFont="1" applyFill="1" applyAlignment="1">
      <alignment vertical="center"/>
    </xf>
    <xf numFmtId="0" fontId="7" fillId="4" borderId="0" xfId="0" applyFont="1" applyFill="1" applyAlignment="1">
      <alignment vertical="center"/>
    </xf>
    <xf numFmtId="0" fontId="20" fillId="5" borderId="15" xfId="0" applyFont="1" applyFill="1" applyBorder="1" applyAlignment="1">
      <alignment horizontal="center" vertical="center" wrapText="1"/>
    </xf>
    <xf numFmtId="0" fontId="24" fillId="5" borderId="15" xfId="0" applyFont="1" applyFill="1" applyBorder="1" applyAlignment="1">
      <alignment horizontal="center" vertical="center" wrapText="1"/>
    </xf>
    <xf numFmtId="165" fontId="25" fillId="6" borderId="15" xfId="0" applyNumberFormat="1" applyFont="1" applyFill="1" applyBorder="1" applyAlignment="1" applyProtection="1">
      <alignment horizontal="center" vertical="center"/>
      <protection locked="0"/>
    </xf>
    <xf numFmtId="166" fontId="25" fillId="6" borderId="15" xfId="0" applyNumberFormat="1" applyFont="1" applyFill="1" applyBorder="1" applyAlignment="1" applyProtection="1">
      <alignment horizontal="center" vertical="center"/>
      <protection locked="0"/>
    </xf>
    <xf numFmtId="9" fontId="25" fillId="6" borderId="15" xfId="3" applyFont="1" applyFill="1" applyBorder="1" applyAlignment="1" applyProtection="1">
      <alignment horizontal="center" vertical="center"/>
      <protection locked="0"/>
    </xf>
    <xf numFmtId="165" fontId="0" fillId="6" borderId="15" xfId="0" applyNumberFormat="1" applyFill="1" applyBorder="1" applyAlignment="1">
      <alignment horizontal="center" vertical="center"/>
    </xf>
    <xf numFmtId="0" fontId="9" fillId="0" borderId="0" xfId="0" applyFont="1" applyAlignment="1">
      <alignment vertical="center"/>
    </xf>
    <xf numFmtId="0" fontId="20" fillId="8" borderId="15" xfId="0" applyFont="1" applyFill="1" applyBorder="1" applyAlignment="1">
      <alignment horizontal="center" vertical="center" wrapText="1"/>
    </xf>
    <xf numFmtId="0" fontId="24" fillId="8" borderId="15" xfId="0" applyFont="1" applyFill="1" applyBorder="1" applyAlignment="1">
      <alignment horizontal="center" vertical="center" wrapText="1"/>
    </xf>
    <xf numFmtId="4" fontId="25" fillId="9" borderId="15" xfId="0" applyNumberFormat="1" applyFont="1" applyFill="1" applyBorder="1" applyAlignment="1" applyProtection="1">
      <alignment horizontal="center" vertical="center"/>
      <protection locked="0"/>
    </xf>
    <xf numFmtId="167" fontId="25" fillId="9" borderId="15" xfId="0" applyNumberFormat="1" applyFont="1" applyFill="1" applyBorder="1" applyAlignment="1" applyProtection="1">
      <alignment horizontal="center" vertical="center"/>
      <protection locked="0"/>
    </xf>
    <xf numFmtId="3" fontId="0" fillId="9" borderId="15" xfId="0" applyNumberFormat="1" applyFont="1" applyFill="1" applyBorder="1" applyAlignment="1">
      <alignment horizontal="center" vertical="center"/>
    </xf>
    <xf numFmtId="3" fontId="25" fillId="9" borderId="15" xfId="0" applyNumberFormat="1" applyFont="1" applyFill="1" applyBorder="1" applyAlignment="1" applyProtection="1">
      <alignment horizontal="center" vertical="center"/>
      <protection locked="0"/>
    </xf>
    <xf numFmtId="4" fontId="0" fillId="9" borderId="15" xfId="0" applyNumberFormat="1" applyFont="1" applyFill="1" applyBorder="1" applyAlignment="1">
      <alignment horizontal="center" vertical="center"/>
    </xf>
    <xf numFmtId="4" fontId="17" fillId="9" borderId="15" xfId="0" applyNumberFormat="1" applyFont="1" applyFill="1" applyBorder="1" applyAlignment="1">
      <alignment horizontal="center" vertical="center"/>
    </xf>
    <xf numFmtId="0" fontId="20" fillId="11" borderId="15" xfId="0" applyFont="1" applyFill="1" applyBorder="1" applyAlignment="1">
      <alignment horizontal="center" vertical="center" wrapText="1"/>
    </xf>
    <xf numFmtId="0" fontId="24" fillId="11" borderId="15" xfId="0" applyFont="1" applyFill="1" applyBorder="1" applyAlignment="1">
      <alignment horizontal="center" vertical="center" wrapText="1"/>
    </xf>
    <xf numFmtId="165" fontId="0" fillId="12" borderId="15" xfId="0" applyNumberFormat="1" applyFill="1" applyBorder="1" applyAlignment="1">
      <alignment horizontal="center" vertical="center"/>
    </xf>
    <xf numFmtId="2" fontId="0" fillId="12" borderId="15" xfId="0" applyNumberFormat="1" applyFill="1" applyBorder="1" applyAlignment="1">
      <alignment horizontal="center" vertical="center"/>
    </xf>
    <xf numFmtId="166" fontId="0" fillId="12" borderId="15" xfId="0" applyNumberFormat="1" applyFill="1" applyBorder="1" applyAlignment="1">
      <alignment horizontal="center" vertical="center"/>
    </xf>
    <xf numFmtId="0" fontId="17" fillId="4" borderId="0" xfId="0" applyFont="1" applyFill="1" applyAlignment="1">
      <alignment horizontal="right" vertical="center"/>
    </xf>
    <xf numFmtId="0" fontId="0" fillId="0" borderId="0" xfId="0" applyAlignment="1">
      <alignment horizontal="right" vertical="center"/>
    </xf>
    <xf numFmtId="168" fontId="0" fillId="0" borderId="0" xfId="0" applyNumberFormat="1" applyAlignment="1">
      <alignment vertical="center"/>
    </xf>
    <xf numFmtId="1" fontId="0" fillId="0" borderId="0" xfId="0" applyNumberFormat="1" applyAlignment="1">
      <alignment vertical="center"/>
    </xf>
    <xf numFmtId="0" fontId="8" fillId="0" borderId="7" xfId="0" applyFont="1" applyBorder="1" applyAlignment="1">
      <alignment vertical="center"/>
    </xf>
    <xf numFmtId="0" fontId="0" fillId="0" borderId="8" xfId="0" applyBorder="1" applyAlignment="1">
      <alignment vertical="center"/>
    </xf>
    <xf numFmtId="1" fontId="0" fillId="0" borderId="8" xfId="0" applyNumberFormat="1" applyBorder="1" applyAlignment="1">
      <alignment vertical="center"/>
    </xf>
    <xf numFmtId="0" fontId="0" fillId="0" borderId="9" xfId="0" applyBorder="1" applyAlignment="1">
      <alignment vertical="center"/>
    </xf>
    <xf numFmtId="0" fontId="10" fillId="0" borderId="10" xfId="4" applyBorder="1" applyAlignment="1" applyProtection="1">
      <alignment vertical="center"/>
      <protection locked="0"/>
    </xf>
    <xf numFmtId="0" fontId="0" fillId="0" borderId="0" xfId="0" applyBorder="1" applyAlignment="1">
      <alignment vertical="center"/>
    </xf>
    <xf numFmtId="1" fontId="0" fillId="0" borderId="0" xfId="0" applyNumberFormat="1" applyBorder="1" applyAlignment="1">
      <alignment vertical="center"/>
    </xf>
    <xf numFmtId="0" fontId="0" fillId="0" borderId="11" xfId="0" applyBorder="1" applyAlignment="1">
      <alignment vertical="center"/>
    </xf>
    <xf numFmtId="0" fontId="10" fillId="0" borderId="12" xfId="4" applyBorder="1" applyAlignment="1" applyProtection="1">
      <alignment vertical="center"/>
      <protection locked="0"/>
    </xf>
    <xf numFmtId="0" fontId="0" fillId="0" borderId="13" xfId="0" applyBorder="1" applyAlignment="1">
      <alignment vertical="center"/>
    </xf>
    <xf numFmtId="1" fontId="0" fillId="0" borderId="13" xfId="0" applyNumberFormat="1" applyBorder="1" applyAlignment="1">
      <alignment vertical="center"/>
    </xf>
    <xf numFmtId="0" fontId="0" fillId="0" borderId="14" xfId="0" applyBorder="1" applyAlignment="1">
      <alignment vertical="center"/>
    </xf>
    <xf numFmtId="168" fontId="0" fillId="4" borderId="0" xfId="0" applyNumberFormat="1" applyFill="1" applyAlignment="1">
      <alignment vertical="center"/>
    </xf>
    <xf numFmtId="1" fontId="0" fillId="4" borderId="0" xfId="0" applyNumberFormat="1" applyFill="1" applyAlignment="1">
      <alignment vertical="center"/>
    </xf>
    <xf numFmtId="0" fontId="7" fillId="0" borderId="0" xfId="0" applyFont="1" applyAlignment="1">
      <alignment vertical="center"/>
    </xf>
    <xf numFmtId="0" fontId="12" fillId="4" borderId="0" xfId="0" applyFont="1" applyFill="1" applyAlignment="1" applyProtection="1">
      <alignment horizontal="center" vertical="center" wrapText="1"/>
    </xf>
    <xf numFmtId="0" fontId="29" fillId="0" borderId="0" xfId="5"/>
    <xf numFmtId="0" fontId="29" fillId="0" borderId="0" xfId="5" applyBorder="1"/>
    <xf numFmtId="0" fontId="29" fillId="0" borderId="0" xfId="5" applyFont="1" applyAlignment="1">
      <alignment horizontal="right"/>
    </xf>
    <xf numFmtId="3" fontId="25" fillId="0" borderId="0" xfId="5" applyNumberFormat="1" applyFont="1"/>
    <xf numFmtId="0" fontId="29" fillId="0" borderId="0" xfId="5" applyAlignment="1">
      <alignment horizontal="right"/>
    </xf>
    <xf numFmtId="0" fontId="25" fillId="0" borderId="0" xfId="5" applyFont="1"/>
    <xf numFmtId="0" fontId="29" fillId="0" borderId="0" xfId="5" applyFont="1"/>
    <xf numFmtId="0" fontId="29" fillId="0" borderId="0" xfId="5" applyFont="1" applyBorder="1" applyAlignment="1">
      <alignment horizontal="right"/>
    </xf>
    <xf numFmtId="0" fontId="29" fillId="0" borderId="0" xfId="5" applyFont="1" applyBorder="1"/>
    <xf numFmtId="0" fontId="5" fillId="0" borderId="0" xfId="5" applyFont="1" applyBorder="1" applyAlignment="1"/>
    <xf numFmtId="168" fontId="29" fillId="0" borderId="0" xfId="5" applyNumberFormat="1" applyBorder="1"/>
    <xf numFmtId="0" fontId="29" fillId="0" borderId="0" xfId="5" applyBorder="1" applyAlignment="1">
      <alignment horizontal="right"/>
    </xf>
    <xf numFmtId="1" fontId="29" fillId="0" borderId="0" xfId="5" applyNumberFormat="1" applyBorder="1"/>
    <xf numFmtId="0" fontId="29" fillId="0" borderId="0" xfId="5" applyFont="1" applyFill="1" applyBorder="1" applyAlignment="1">
      <alignment horizontal="right"/>
    </xf>
    <xf numFmtId="0" fontId="30" fillId="0" borderId="0" xfId="5" applyFont="1"/>
    <xf numFmtId="0" fontId="8" fillId="0" borderId="0" xfId="5" applyFont="1" applyBorder="1" applyAlignment="1">
      <alignment horizontal="center"/>
    </xf>
    <xf numFmtId="168" fontId="5" fillId="0" borderId="0" xfId="5" applyNumberFormat="1" applyFont="1" applyBorder="1" applyAlignment="1"/>
    <xf numFmtId="0" fontId="29" fillId="0" borderId="0" xfId="5" applyFont="1" applyFill="1" applyBorder="1"/>
    <xf numFmtId="0" fontId="30" fillId="0" borderId="0" xfId="5" applyFont="1" applyBorder="1"/>
    <xf numFmtId="1" fontId="30" fillId="0" borderId="0" xfId="5" applyNumberFormat="1" applyFont="1" applyFill="1" applyBorder="1"/>
    <xf numFmtId="169" fontId="29" fillId="0" borderId="0" xfId="5" applyNumberFormat="1" applyFont="1" applyBorder="1"/>
    <xf numFmtId="0" fontId="29" fillId="0" borderId="0" xfId="0" applyFont="1" applyBorder="1" applyAlignment="1">
      <alignment horizontal="right"/>
    </xf>
    <xf numFmtId="0" fontId="25" fillId="0" borderId="0" xfId="0" applyFont="1" applyBorder="1"/>
    <xf numFmtId="0" fontId="0" fillId="0" borderId="0" xfId="0" applyBorder="1"/>
    <xf numFmtId="0" fontId="29" fillId="0" borderId="0" xfId="0" applyFont="1" applyBorder="1"/>
    <xf numFmtId="0" fontId="0" fillId="0" borderId="0" xfId="0" applyBorder="1" applyAlignment="1">
      <alignment horizontal="left" wrapText="1"/>
    </xf>
    <xf numFmtId="170" fontId="17" fillId="9" borderId="15" xfId="0" applyNumberFormat="1" applyFont="1" applyFill="1" applyBorder="1" applyAlignment="1">
      <alignment horizontal="center" vertical="center"/>
    </xf>
    <xf numFmtId="0" fontId="29" fillId="4" borderId="0" xfId="5" applyFill="1"/>
    <xf numFmtId="0" fontId="29" fillId="4" borderId="0" xfId="5" applyFill="1" applyBorder="1"/>
    <xf numFmtId="0" fontId="32" fillId="4" borderId="0" xfId="5" applyFont="1" applyFill="1" applyBorder="1"/>
    <xf numFmtId="0" fontId="29" fillId="4" borderId="0" xfId="5" applyFill="1" applyBorder="1" applyAlignment="1">
      <alignment horizontal="right"/>
    </xf>
    <xf numFmtId="2" fontId="29" fillId="4" borderId="0" xfId="5" applyNumberFormat="1" applyFill="1" applyBorder="1"/>
    <xf numFmtId="0" fontId="29" fillId="4" borderId="0" xfId="5" applyFill="1" applyAlignment="1">
      <alignment vertical="top" wrapText="1"/>
    </xf>
    <xf numFmtId="0" fontId="34" fillId="4" borderId="0" xfId="0" applyFont="1" applyFill="1" applyAlignment="1" applyProtection="1">
      <alignment vertical="center" wrapText="1"/>
    </xf>
    <xf numFmtId="0" fontId="36" fillId="4" borderId="0" xfId="0" applyFont="1" applyFill="1" applyAlignment="1" applyProtection="1">
      <alignment vertical="center" wrapText="1"/>
    </xf>
    <xf numFmtId="0" fontId="38" fillId="0" borderId="0" xfId="0" applyFont="1" applyAlignment="1">
      <alignment horizontal="center"/>
    </xf>
    <xf numFmtId="3" fontId="17" fillId="9" borderId="15" xfId="0" applyNumberFormat="1" applyFont="1" applyFill="1" applyBorder="1" applyAlignment="1">
      <alignment horizontal="center" vertical="center"/>
    </xf>
    <xf numFmtId="0" fontId="20" fillId="4" borderId="15" xfId="0" applyFont="1" applyFill="1" applyBorder="1" applyAlignment="1">
      <alignment horizontal="center" vertical="center" wrapText="1"/>
    </xf>
    <xf numFmtId="0" fontId="24" fillId="4" borderId="15" xfId="0" applyFont="1" applyFill="1" applyBorder="1" applyAlignment="1">
      <alignment horizontal="center" vertical="center" wrapText="1"/>
    </xf>
    <xf numFmtId="166" fontId="37" fillId="4" borderId="15" xfId="0" applyNumberFormat="1" applyFont="1" applyFill="1" applyBorder="1" applyAlignment="1" applyProtection="1">
      <alignment horizontal="center" vertical="center"/>
      <protection locked="0"/>
    </xf>
    <xf numFmtId="0" fontId="0" fillId="4" borderId="0" xfId="0" applyFill="1"/>
    <xf numFmtId="0" fontId="4" fillId="3" borderId="1" xfId="0" applyFont="1" applyFill="1" applyBorder="1" applyAlignment="1">
      <alignment horizontal="center" vertical="center" wrapText="1"/>
    </xf>
    <xf numFmtId="164" fontId="3" fillId="2" borderId="2" xfId="2" applyNumberFormat="1" applyFont="1" applyFill="1" applyBorder="1" applyAlignment="1">
      <alignment horizontal="center" vertical="center" wrapText="1"/>
    </xf>
    <xf numFmtId="164" fontId="3" fillId="2" borderId="6" xfId="2" applyNumberFormat="1" applyFont="1" applyFill="1" applyBorder="1" applyAlignment="1">
      <alignment horizontal="center" vertical="center" wrapText="1"/>
    </xf>
    <xf numFmtId="164" fontId="3" fillId="2" borderId="3" xfId="2" applyNumberFormat="1"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39" fillId="4" borderId="0" xfId="0" applyFont="1" applyFill="1" applyAlignment="1">
      <alignment horizontal="center" wrapText="1"/>
    </xf>
    <xf numFmtId="3" fontId="28" fillId="15" borderId="15" xfId="0" applyNumberFormat="1" applyFont="1" applyFill="1" applyBorder="1" applyAlignment="1">
      <alignment horizontal="center" vertical="center"/>
    </xf>
    <xf numFmtId="167" fontId="28" fillId="15" borderId="15" xfId="0" applyNumberFormat="1" applyFont="1" applyFill="1" applyBorder="1" applyAlignment="1">
      <alignment horizontal="center" vertical="center"/>
    </xf>
    <xf numFmtId="0" fontId="20" fillId="11" borderId="16" xfId="0" applyFont="1" applyFill="1" applyBorder="1" applyAlignment="1">
      <alignment horizontal="center" vertical="center" wrapText="1"/>
    </xf>
    <xf numFmtId="0" fontId="20" fillId="11" borderId="18" xfId="0" applyFont="1" applyFill="1" applyBorder="1" applyAlignment="1">
      <alignment horizontal="center" vertical="center" wrapText="1"/>
    </xf>
    <xf numFmtId="0" fontId="24" fillId="11" borderId="16" xfId="0" applyFont="1" applyFill="1" applyBorder="1" applyAlignment="1">
      <alignment horizontal="center" vertical="center" wrapText="1"/>
    </xf>
    <xf numFmtId="0" fontId="24" fillId="11" borderId="18" xfId="0" applyFont="1" applyFill="1" applyBorder="1" applyAlignment="1">
      <alignment horizontal="center" vertical="center" wrapText="1"/>
    </xf>
    <xf numFmtId="1" fontId="8" fillId="12" borderId="16" xfId="0" applyNumberFormat="1" applyFont="1" applyFill="1" applyBorder="1" applyAlignment="1">
      <alignment horizontal="center" vertical="center"/>
    </xf>
    <xf numFmtId="1" fontId="8" fillId="12" borderId="18" xfId="0" applyNumberFormat="1" applyFont="1" applyFill="1" applyBorder="1" applyAlignment="1">
      <alignment horizontal="center" vertical="center"/>
    </xf>
    <xf numFmtId="0" fontId="19" fillId="13" borderId="15" xfId="0" applyFont="1" applyFill="1" applyBorder="1" applyAlignment="1">
      <alignment horizontal="center" vertical="center" wrapText="1"/>
    </xf>
    <xf numFmtId="0" fontId="20" fillId="14" borderId="15" xfId="0" applyFont="1" applyFill="1" applyBorder="1" applyAlignment="1">
      <alignment horizontal="center" vertical="center" wrapText="1"/>
    </xf>
    <xf numFmtId="0" fontId="20" fillId="14" borderId="16" xfId="0" applyFont="1" applyFill="1" applyBorder="1" applyAlignment="1">
      <alignment horizontal="center" vertical="center" wrapText="1"/>
    </xf>
    <xf numFmtId="0" fontId="20" fillId="14" borderId="17" xfId="0" applyFont="1" applyFill="1" applyBorder="1" applyAlignment="1">
      <alignment horizontal="center" vertical="center" wrapText="1"/>
    </xf>
    <xf numFmtId="0" fontId="20" fillId="14" borderId="18" xfId="0" applyFont="1" applyFill="1" applyBorder="1" applyAlignment="1">
      <alignment horizontal="center" vertical="center" wrapText="1"/>
    </xf>
    <xf numFmtId="0" fontId="19" fillId="3" borderId="15" xfId="0" applyFont="1" applyFill="1" applyBorder="1" applyAlignment="1">
      <alignment horizontal="center" vertical="center" wrapText="1"/>
    </xf>
    <xf numFmtId="0" fontId="19" fillId="3" borderId="15" xfId="0" applyFont="1" applyFill="1" applyBorder="1" applyAlignment="1">
      <alignment horizontal="center" vertical="center"/>
    </xf>
    <xf numFmtId="0" fontId="19" fillId="7" borderId="15" xfId="0" applyFont="1" applyFill="1" applyBorder="1" applyAlignment="1">
      <alignment horizontal="center" vertical="center"/>
    </xf>
    <xf numFmtId="0" fontId="20" fillId="8" borderId="15" xfId="0" applyFont="1" applyFill="1" applyBorder="1" applyAlignment="1">
      <alignment horizontal="center" vertical="center" wrapText="1"/>
    </xf>
    <xf numFmtId="0" fontId="27" fillId="10" borderId="16" xfId="0" applyFont="1" applyFill="1" applyBorder="1" applyAlignment="1">
      <alignment horizontal="center" vertical="center" wrapText="1"/>
    </xf>
    <xf numFmtId="0" fontId="27" fillId="10" borderId="17" xfId="0" applyFont="1" applyFill="1" applyBorder="1" applyAlignment="1">
      <alignment horizontal="center" vertical="center" wrapText="1"/>
    </xf>
    <xf numFmtId="0" fontId="27" fillId="10" borderId="18" xfId="0" applyFont="1" applyFill="1" applyBorder="1" applyAlignment="1">
      <alignment horizontal="center" vertical="center" wrapText="1"/>
    </xf>
    <xf numFmtId="0" fontId="0" fillId="0" borderId="10" xfId="0" applyBorder="1" applyAlignment="1">
      <alignment horizontal="left" vertical="top" wrapText="1"/>
    </xf>
    <xf numFmtId="0" fontId="0" fillId="0" borderId="0"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13" fillId="4" borderId="0" xfId="0" applyFont="1" applyFill="1" applyAlignment="1" applyProtection="1">
      <alignment horizontal="center" vertical="center" wrapText="1"/>
    </xf>
    <xf numFmtId="0" fontId="12" fillId="4" borderId="0" xfId="0" applyFont="1" applyFill="1" applyAlignment="1" applyProtection="1">
      <alignment horizontal="center" vertical="center" wrapText="1"/>
    </xf>
    <xf numFmtId="0" fontId="11" fillId="4" borderId="0" xfId="4" applyFont="1" applyFill="1" applyAlignment="1" applyProtection="1">
      <alignment horizontal="center" vertical="center"/>
    </xf>
    <xf numFmtId="0" fontId="12" fillId="4" borderId="0" xfId="0" applyFont="1" applyFill="1" applyAlignment="1">
      <alignment horizontal="center" vertical="center" wrapText="1"/>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9" xfId="0" applyFont="1" applyBorder="1" applyAlignment="1">
      <alignment horizontal="left" vertical="center"/>
    </xf>
    <xf numFmtId="0" fontId="0" fillId="0" borderId="10" xfId="0" applyBorder="1" applyAlignment="1">
      <alignment horizontal="left" vertical="center" wrapText="1"/>
    </xf>
    <xf numFmtId="0" fontId="0" fillId="0" borderId="0" xfId="0" applyBorder="1" applyAlignment="1">
      <alignment horizontal="left" vertical="center" wrapText="1"/>
    </xf>
    <xf numFmtId="0" fontId="0" fillId="0" borderId="11" xfId="0" applyBorder="1" applyAlignment="1">
      <alignment horizontal="left" vertical="center" wrapText="1"/>
    </xf>
    <xf numFmtId="0" fontId="35" fillId="4" borderId="0" xfId="0" applyFont="1" applyFill="1" applyAlignment="1" applyProtection="1">
      <alignment horizontal="center" vertical="center" wrapText="1"/>
    </xf>
    <xf numFmtId="0" fontId="29" fillId="0" borderId="0" xfId="5" applyFill="1" applyAlignment="1">
      <alignment horizontal="left" vertical="top" wrapText="1"/>
    </xf>
    <xf numFmtId="0" fontId="33" fillId="0" borderId="0" xfId="5" applyFont="1" applyBorder="1" applyAlignment="1">
      <alignment horizontal="center"/>
    </xf>
    <xf numFmtId="0" fontId="38" fillId="16" borderId="0" xfId="0" applyFont="1" applyFill="1" applyAlignment="1">
      <alignment horizontal="center"/>
    </xf>
    <xf numFmtId="0" fontId="0" fillId="0" borderId="0" xfId="0" applyAlignment="1">
      <alignment horizontal="left" vertical="top" wrapText="1"/>
    </xf>
  </cellXfs>
  <cellStyles count="6">
    <cellStyle name="Currency" xfId="2" builtinId="4"/>
    <cellStyle name="Hyperlink" xfId="1" builtinId="8"/>
    <cellStyle name="Hyperlink 2" xfId="4"/>
    <cellStyle name="Normal" xfId="0" builtinId="0"/>
    <cellStyle name="Normal 2" xfId="5"/>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www.EngineerDog.com"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http://www.EngineerDog.com" TargetMode="External"/><Relationship Id="rId6" Type="http://schemas.openxmlformats.org/officeDocument/2006/relationships/image" Target="../media/image7.png"/><Relationship Id="rId5" Type="http://schemas.openxmlformats.org/officeDocument/2006/relationships/image" Target="../media/image6.jpe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5</xdr:col>
      <xdr:colOff>171450</xdr:colOff>
      <xdr:row>0</xdr:row>
      <xdr:rowOff>287669</xdr:rowOff>
    </xdr:from>
    <xdr:to>
      <xdr:col>7</xdr:col>
      <xdr:colOff>210185</xdr:colOff>
      <xdr:row>7</xdr:row>
      <xdr:rowOff>289024</xdr:rowOff>
    </xdr:to>
    <xdr:pic>
      <xdr:nvPicPr>
        <xdr:cNvPr id="2" name="Picture 1" descr="C:\Users\Michael\Desktop\testrbot!\ASSEMBLY PICS\headliner photo.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62900" y="287669"/>
          <a:ext cx="1877060" cy="2125430"/>
        </a:xfrm>
        <a:prstGeom prst="rect">
          <a:avLst/>
        </a:prstGeom>
        <a:noFill/>
        <a:ln>
          <a:noFill/>
        </a:ln>
      </xdr:spPr>
    </xdr:pic>
    <xdr:clientData/>
  </xdr:twoCellAnchor>
  <xdr:twoCellAnchor editAs="oneCell">
    <xdr:from>
      <xdr:col>7</xdr:col>
      <xdr:colOff>364248</xdr:colOff>
      <xdr:row>2</xdr:row>
      <xdr:rowOff>9524</xdr:rowOff>
    </xdr:from>
    <xdr:to>
      <xdr:col>9</xdr:col>
      <xdr:colOff>1086833</xdr:colOff>
      <xdr:row>7</xdr:row>
      <xdr:rowOff>285748</xdr:rowOff>
    </xdr:to>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94023" y="619124"/>
          <a:ext cx="2284685" cy="17906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222608</xdr:colOff>
      <xdr:row>0</xdr:row>
      <xdr:rowOff>95950</xdr:rowOff>
    </xdr:from>
    <xdr:to>
      <xdr:col>9</xdr:col>
      <xdr:colOff>586221</xdr:colOff>
      <xdr:row>8</xdr:row>
      <xdr:rowOff>11205</xdr:rowOff>
    </xdr:to>
    <xdr:pic>
      <xdr:nvPicPr>
        <xdr:cNvPr id="2" name="Picture 2">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698983" y="95950"/>
          <a:ext cx="10547519" cy="2039330"/>
        </a:xfrm>
        <a:prstGeom prst="rect">
          <a:avLst/>
        </a:prstGeom>
        <a:noFill/>
      </xdr:spPr>
    </xdr:pic>
    <xdr:clientData/>
  </xdr:twoCellAnchor>
  <xdr:twoCellAnchor editAs="oneCell">
    <xdr:from>
      <xdr:col>6</xdr:col>
      <xdr:colOff>258224</xdr:colOff>
      <xdr:row>17</xdr:row>
      <xdr:rowOff>116591</xdr:rowOff>
    </xdr:from>
    <xdr:to>
      <xdr:col>10</xdr:col>
      <xdr:colOff>351449</xdr:colOff>
      <xdr:row>25</xdr:row>
      <xdr:rowOff>152903</xdr:rowOff>
    </xdr:to>
    <xdr:pic>
      <xdr:nvPicPr>
        <xdr:cNvPr id="3" name="Picture 2"/>
        <xdr:cNvPicPr/>
      </xdr:nvPicPr>
      <xdr:blipFill>
        <a:blip xmlns:r="http://schemas.openxmlformats.org/officeDocument/2006/relationships" r:embed="rId3" cstate="print"/>
        <a:srcRect/>
        <a:stretch>
          <a:fillRect/>
        </a:stretch>
      </xdr:blipFill>
      <xdr:spPr bwMode="auto">
        <a:xfrm>
          <a:off x="7621049" y="4450466"/>
          <a:ext cx="5152681" cy="1941312"/>
        </a:xfrm>
        <a:prstGeom prst="rect">
          <a:avLst/>
        </a:prstGeom>
        <a:noFill/>
        <a:ln w="19050">
          <a:solidFill>
            <a:sysClr val="windowText" lastClr="000000"/>
          </a:solidFill>
          <a:miter lim="800000"/>
          <a:headEnd/>
          <a:tailEnd/>
        </a:ln>
      </xdr:spPr>
    </xdr:pic>
    <xdr:clientData/>
  </xdr:twoCellAnchor>
  <xdr:twoCellAnchor>
    <xdr:from>
      <xdr:col>1</xdr:col>
      <xdr:colOff>314739</xdr:colOff>
      <xdr:row>50</xdr:row>
      <xdr:rowOff>107673</xdr:rowOff>
    </xdr:from>
    <xdr:to>
      <xdr:col>5</xdr:col>
      <xdr:colOff>313476</xdr:colOff>
      <xdr:row>67</xdr:row>
      <xdr:rowOff>8283</xdr:rowOff>
    </xdr:to>
    <xdr:grpSp>
      <xdr:nvGrpSpPr>
        <xdr:cNvPr id="4" name="Group 3"/>
        <xdr:cNvGrpSpPr/>
      </xdr:nvGrpSpPr>
      <xdr:grpSpPr>
        <a:xfrm>
          <a:off x="1390504" y="14977879"/>
          <a:ext cx="5007766" cy="3139110"/>
          <a:chOff x="522778" y="20736242"/>
          <a:chExt cx="5500674" cy="4076700"/>
        </a:xfrm>
      </xdr:grpSpPr>
      <xdr:pic>
        <xdr:nvPicPr>
          <xdr:cNvPr id="5" name="Picture 4" descr="http://www.automation4less.com/ballscrewassembly.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2778" y="20736242"/>
            <a:ext cx="5500674" cy="40767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sp macro="" textlink="">
        <xdr:nvSpPr>
          <xdr:cNvPr id="6" name="Rectangle 5"/>
          <xdr:cNvSpPr/>
        </xdr:nvSpPr>
        <xdr:spPr>
          <a:xfrm>
            <a:off x="3602935" y="23564022"/>
            <a:ext cx="2219739" cy="1085021"/>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lang="en-US" sz="1100"/>
          </a:p>
        </xdr:txBody>
      </xdr:sp>
    </xdr:grpSp>
    <xdr:clientData/>
  </xdr:twoCellAnchor>
  <xdr:twoCellAnchor>
    <xdr:from>
      <xdr:col>5</xdr:col>
      <xdr:colOff>423819</xdr:colOff>
      <xdr:row>50</xdr:row>
      <xdr:rowOff>132520</xdr:rowOff>
    </xdr:from>
    <xdr:to>
      <xdr:col>10</xdr:col>
      <xdr:colOff>185414</xdr:colOff>
      <xdr:row>66</xdr:row>
      <xdr:rowOff>182217</xdr:rowOff>
    </xdr:to>
    <xdr:grpSp>
      <xdr:nvGrpSpPr>
        <xdr:cNvPr id="7" name="Group 6"/>
        <xdr:cNvGrpSpPr/>
      </xdr:nvGrpSpPr>
      <xdr:grpSpPr>
        <a:xfrm>
          <a:off x="6508613" y="15002726"/>
          <a:ext cx="6104125" cy="3097697"/>
          <a:chOff x="10399062" y="19997141"/>
          <a:chExt cx="4535555" cy="3182469"/>
        </a:xfrm>
      </xdr:grpSpPr>
      <xdr:pic>
        <xdr:nvPicPr>
          <xdr:cNvPr id="8" name="Picture 7" descr="http://images.machinedesign.com/images/archive/501293680300jpg_00000047088.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399062" y="19997141"/>
            <a:ext cx="4535555" cy="318246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9" name="Rectangular Callout 8"/>
          <xdr:cNvSpPr/>
        </xdr:nvSpPr>
        <xdr:spPr>
          <a:xfrm>
            <a:off x="11212330" y="20068897"/>
            <a:ext cx="3190266" cy="370249"/>
          </a:xfrm>
          <a:prstGeom prst="wedgeRectCallout">
            <a:avLst>
              <a:gd name="adj1" fmla="val -20833"/>
              <a:gd name="adj2" fmla="val 41745"/>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ZW" sz="1600" b="1">
                <a:solidFill>
                  <a:sysClr val="windowText" lastClr="000000"/>
                </a:solidFill>
                <a:latin typeface="+mn-lt"/>
              </a:rPr>
              <a:t>Signs of Screw Wear</a:t>
            </a:r>
          </a:p>
        </xdr:txBody>
      </xdr:sp>
    </xdr:grpSp>
    <xdr:clientData/>
  </xdr:twoCellAnchor>
  <xdr:twoCellAnchor editAs="oneCell">
    <xdr:from>
      <xdr:col>8</xdr:col>
      <xdr:colOff>515471</xdr:colOff>
      <xdr:row>11</xdr:row>
      <xdr:rowOff>198782</xdr:rowOff>
    </xdr:from>
    <xdr:to>
      <xdr:col>10</xdr:col>
      <xdr:colOff>351771</xdr:colOff>
      <xdr:row>17</xdr:row>
      <xdr:rowOff>101464</xdr:rowOff>
    </xdr:to>
    <xdr:pic>
      <xdr:nvPicPr>
        <xdr:cNvPr id="10" name="Picture 9"/>
        <xdr:cNvPicPr>
          <a:picLocks noChangeAspect="1"/>
        </xdr:cNvPicPr>
      </xdr:nvPicPr>
      <xdr:blipFill rotWithShape="1">
        <a:blip xmlns:r="http://schemas.openxmlformats.org/officeDocument/2006/relationships" r:embed="rId6" cstate="print"/>
        <a:srcRect l="63393" t="27871" r="4438" b="23581"/>
        <a:stretch/>
      </xdr:blipFill>
      <xdr:spPr>
        <a:xfrm>
          <a:off x="10792946" y="2808632"/>
          <a:ext cx="1981106" cy="1626707"/>
        </a:xfrm>
        <a:prstGeom prst="rect">
          <a:avLst/>
        </a:prstGeom>
        <a:noFill/>
        <a:ln w="12700">
          <a:solidFill>
            <a:schemeClr val="tx1"/>
          </a:solidFill>
        </a:ln>
      </xdr:spPr>
    </xdr:pic>
    <xdr:clientData/>
  </xdr:twoCellAnchor>
  <xdr:twoCellAnchor>
    <xdr:from>
      <xdr:col>0</xdr:col>
      <xdr:colOff>941293</xdr:colOff>
      <xdr:row>39</xdr:row>
      <xdr:rowOff>280147</xdr:rowOff>
    </xdr:from>
    <xdr:to>
      <xdr:col>12</xdr:col>
      <xdr:colOff>582705</xdr:colOff>
      <xdr:row>83</xdr:row>
      <xdr:rowOff>0</xdr:rowOff>
    </xdr:to>
    <xdr:sp macro="" textlink="">
      <xdr:nvSpPr>
        <xdr:cNvPr id="11" name="Rectangle 10"/>
        <xdr:cNvSpPr/>
      </xdr:nvSpPr>
      <xdr:spPr>
        <a:xfrm>
          <a:off x="941293" y="11620500"/>
          <a:ext cx="13099677" cy="9883588"/>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571500</xdr:colOff>
      <xdr:row>8</xdr:row>
      <xdr:rowOff>380999</xdr:rowOff>
    </xdr:from>
    <xdr:to>
      <xdr:col>12</xdr:col>
      <xdr:colOff>212912</xdr:colOff>
      <xdr:row>26</xdr:row>
      <xdr:rowOff>11205</xdr:rowOff>
    </xdr:to>
    <xdr:sp macro="" textlink="">
      <xdr:nvSpPr>
        <xdr:cNvPr id="12" name="Rectangle 11"/>
        <xdr:cNvSpPr/>
      </xdr:nvSpPr>
      <xdr:spPr>
        <a:xfrm>
          <a:off x="571500" y="2521323"/>
          <a:ext cx="13099677" cy="3899647"/>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391646</xdr:colOff>
      <xdr:row>24</xdr:row>
      <xdr:rowOff>140784</xdr:rowOff>
    </xdr:from>
    <xdr:to>
      <xdr:col>15</xdr:col>
      <xdr:colOff>493059</xdr:colOff>
      <xdr:row>45</xdr:row>
      <xdr:rowOff>95363</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5940" y="4186108"/>
          <a:ext cx="7889501" cy="324910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38101</xdr:colOff>
      <xdr:row>18</xdr:row>
      <xdr:rowOff>85725</xdr:rowOff>
    </xdr:from>
    <xdr:to>
      <xdr:col>21</xdr:col>
      <xdr:colOff>404608</xdr:colOff>
      <xdr:row>36</xdr:row>
      <xdr:rowOff>0</xdr:rowOff>
    </xdr:to>
    <xdr:pic>
      <xdr:nvPicPr>
        <xdr:cNvPr id="3" name="Picture 2"/>
        <xdr:cNvPicPr>
          <a:picLocks noChangeAspect="1"/>
        </xdr:cNvPicPr>
      </xdr:nvPicPr>
      <xdr:blipFill rotWithShape="1">
        <a:blip xmlns:r="http://schemas.openxmlformats.org/officeDocument/2006/relationships" r:embed="rId1"/>
        <a:srcRect l="25040" t="23831" r="27443" b="27204"/>
        <a:stretch/>
      </xdr:blipFill>
      <xdr:spPr>
        <a:xfrm>
          <a:off x="6305551" y="3419475"/>
          <a:ext cx="5852907" cy="3390900"/>
        </a:xfrm>
        <a:prstGeom prst="rect">
          <a:avLst/>
        </a:prstGeom>
        <a:ln>
          <a:solidFill>
            <a:schemeClr val="tx1"/>
          </a:solidFill>
        </a:ln>
      </xdr:spPr>
    </xdr:pic>
    <xdr:clientData/>
  </xdr:twoCellAnchor>
  <xdr:twoCellAnchor editAs="oneCell">
    <xdr:from>
      <xdr:col>12</xdr:col>
      <xdr:colOff>57150</xdr:colOff>
      <xdr:row>2</xdr:row>
      <xdr:rowOff>48560</xdr:rowOff>
    </xdr:from>
    <xdr:to>
      <xdr:col>22</xdr:col>
      <xdr:colOff>9161</xdr:colOff>
      <xdr:row>15</xdr:row>
      <xdr:rowOff>47624</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62700" y="343835"/>
          <a:ext cx="6048011" cy="247556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2</xdr:row>
      <xdr:rowOff>92780</xdr:rowOff>
    </xdr:from>
    <xdr:to>
      <xdr:col>11</xdr:col>
      <xdr:colOff>40958</xdr:colOff>
      <xdr:row>14</xdr:row>
      <xdr:rowOff>76199</xdr:rowOff>
    </xdr:to>
    <xdr:pic>
      <xdr:nvPicPr>
        <xdr:cNvPr id="5"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330905"/>
          <a:ext cx="6127433" cy="226941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oadcell%20design/nakka%20offa%20loadcell%20design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strbot%20ball-screw-calcula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oadcell"/>
      <sheetName val="Detail"/>
      <sheetName val="Equations"/>
      <sheetName val="Revisions"/>
      <sheetName val="Sheet1"/>
    </sheetNames>
    <sheetDataSet>
      <sheetData sheetId="0"/>
      <sheetData sheetId="1">
        <row r="6">
          <cell r="D6">
            <v>200</v>
          </cell>
        </row>
        <row r="7">
          <cell r="D7">
            <v>0.5</v>
          </cell>
        </row>
        <row r="8">
          <cell r="D8">
            <v>0.9375</v>
          </cell>
        </row>
        <row r="9">
          <cell r="D9">
            <v>1.5</v>
          </cell>
        </row>
        <row r="10">
          <cell r="D10">
            <v>0.84066666666666656</v>
          </cell>
        </row>
        <row r="11">
          <cell r="D11">
            <v>0.83875</v>
          </cell>
        </row>
        <row r="12">
          <cell r="D12">
            <v>10</v>
          </cell>
        </row>
        <row r="14">
          <cell r="D14">
            <v>1.0759999999999998</v>
          </cell>
        </row>
        <row r="15">
          <cell r="D15">
            <v>1.2609999999999999</v>
          </cell>
        </row>
        <row r="16">
          <cell r="D16">
            <v>0.185</v>
          </cell>
        </row>
        <row r="17">
          <cell r="D17">
            <v>0.37</v>
          </cell>
        </row>
        <row r="18">
          <cell r="D18">
            <v>-1081.081081081081</v>
          </cell>
        </row>
        <row r="19">
          <cell r="D19">
            <v>18863.403944485024</v>
          </cell>
        </row>
        <row r="21">
          <cell r="D21">
            <v>17782.322863403944</v>
          </cell>
        </row>
        <row r="81">
          <cell r="F81">
            <v>3.5337837837837842</v>
          </cell>
        </row>
        <row r="82">
          <cell r="F82">
            <v>9.643106415068825E-2</v>
          </cell>
        </row>
        <row r="83">
          <cell r="F83">
            <v>1.2326890134972126</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w Design"/>
      <sheetName val="Ball Screws VS Lead Screws"/>
      <sheetName val="Screw Terms"/>
      <sheetName val="calculations"/>
    </sheetNames>
    <sheetDataSet>
      <sheetData sheetId="0" refreshError="1"/>
      <sheetData sheetId="1" refreshError="1"/>
      <sheetData sheetId="2" refreshError="1"/>
      <sheetData sheetId="3">
        <row r="28">
          <cell r="C28">
            <v>21320.55</v>
          </cell>
        </row>
        <row r="31">
          <cell r="C31">
            <v>205001809881</v>
          </cell>
        </row>
        <row r="37">
          <cell r="C37">
            <v>1.9485199285420276E-10</v>
          </cell>
        </row>
        <row r="39">
          <cell r="D39">
            <v>4</v>
          </cell>
        </row>
        <row r="40">
          <cell r="C40">
            <v>0.25</v>
          </cell>
          <cell r="E40">
            <v>0.157</v>
          </cell>
        </row>
        <row r="41">
          <cell r="C41">
            <v>1</v>
          </cell>
          <cell r="E41">
            <v>0.441</v>
          </cell>
        </row>
        <row r="42">
          <cell r="C42">
            <v>2</v>
          </cell>
          <cell r="E42">
            <v>0.68899999999999995</v>
          </cell>
        </row>
        <row r="43">
          <cell r="C43">
            <v>4</v>
          </cell>
          <cell r="E43">
            <v>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mcmaster.com/" TargetMode="External"/><Relationship Id="rId13" Type="http://schemas.openxmlformats.org/officeDocument/2006/relationships/hyperlink" Target="http://amzn.to/2nGK5eB" TargetMode="External"/><Relationship Id="rId18" Type="http://schemas.openxmlformats.org/officeDocument/2006/relationships/hyperlink" Target="http://amzn.to/2pvLaTg" TargetMode="External"/><Relationship Id="rId3" Type="http://schemas.openxmlformats.org/officeDocument/2006/relationships/hyperlink" Target="http://www.mcmaster.com/" TargetMode="External"/><Relationship Id="rId7" Type="http://schemas.openxmlformats.org/officeDocument/2006/relationships/hyperlink" Target="http://www.mcmaster.com/" TargetMode="External"/><Relationship Id="rId12" Type="http://schemas.openxmlformats.org/officeDocument/2006/relationships/hyperlink" Target="http://amzn.to/2nGUh6U" TargetMode="External"/><Relationship Id="rId17" Type="http://schemas.openxmlformats.org/officeDocument/2006/relationships/hyperlink" Target="http://amzn.to/2o7LkQ5" TargetMode="External"/><Relationship Id="rId2" Type="http://schemas.openxmlformats.org/officeDocument/2006/relationships/hyperlink" Target="http://www.mcmaster.com/" TargetMode="External"/><Relationship Id="rId16" Type="http://schemas.openxmlformats.org/officeDocument/2006/relationships/hyperlink" Target="http://amzn.to/1VMqIex" TargetMode="External"/><Relationship Id="rId20" Type="http://schemas.openxmlformats.org/officeDocument/2006/relationships/drawing" Target="../drawings/drawing1.xml"/><Relationship Id="rId1" Type="http://schemas.openxmlformats.org/officeDocument/2006/relationships/hyperlink" Target="http://www.ti.com/product/ina122/samplebuy" TargetMode="External"/><Relationship Id="rId6" Type="http://schemas.openxmlformats.org/officeDocument/2006/relationships/hyperlink" Target="http://www.mcmaster.com/" TargetMode="External"/><Relationship Id="rId11" Type="http://schemas.openxmlformats.org/officeDocument/2006/relationships/hyperlink" Target="http://amzn.to/2nGGqOd" TargetMode="External"/><Relationship Id="rId5" Type="http://schemas.openxmlformats.org/officeDocument/2006/relationships/hyperlink" Target="http://www.mcmaster.com/" TargetMode="External"/><Relationship Id="rId15" Type="http://schemas.openxmlformats.org/officeDocument/2006/relationships/hyperlink" Target="http://amzn.to/1VSnqGa" TargetMode="External"/><Relationship Id="rId10" Type="http://schemas.openxmlformats.org/officeDocument/2006/relationships/hyperlink" Target="http://amzn.to/2nGLKB1" TargetMode="External"/><Relationship Id="rId19" Type="http://schemas.openxmlformats.org/officeDocument/2006/relationships/printerSettings" Target="../printerSettings/printerSettings1.bin"/><Relationship Id="rId4" Type="http://schemas.openxmlformats.org/officeDocument/2006/relationships/hyperlink" Target="http://www.mcmaster.com/" TargetMode="External"/><Relationship Id="rId9" Type="http://schemas.openxmlformats.org/officeDocument/2006/relationships/hyperlink" Target="http://tacunasystems.com/zc/index.php?main_page=product_info&amp;cPath=10_9_14&amp;products_id=37" TargetMode="External"/><Relationship Id="rId14" Type="http://schemas.openxmlformats.org/officeDocument/2006/relationships/hyperlink" Target="http://amzn.to/2nGHOjx"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tech.thk.com/en/products/pdf/en_b15_006.pdf" TargetMode="External"/><Relationship Id="rId2" Type="http://schemas.openxmlformats.org/officeDocument/2006/relationships/hyperlink" Target="http://us.misumi-ec.com/pdf/tech/mech/p2799.pdf" TargetMode="External"/><Relationship Id="rId1" Type="http://schemas.openxmlformats.org/officeDocument/2006/relationships/hyperlink" Target="http://www.hiwin.com.tw/download/tech_doc/bs/Ballscrew-(E).pdf"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3"/>
  <sheetViews>
    <sheetView tabSelected="1" zoomScaleNormal="100" workbookViewId="0">
      <selection activeCell="E62" sqref="E62"/>
    </sheetView>
  </sheetViews>
  <sheetFormatPr defaultRowHeight="15" x14ac:dyDescent="0.2"/>
  <cols>
    <col min="1" max="1" width="2.85546875" style="9" customWidth="1"/>
    <col min="2" max="2" width="21" style="1" customWidth="1"/>
    <col min="3" max="4" width="33.5703125" style="2" customWidth="1"/>
    <col min="5" max="5" width="25.85546875" style="2" customWidth="1"/>
    <col min="6" max="6" width="15" style="2" customWidth="1"/>
    <col min="7" max="7" width="12.5703125" style="2" customWidth="1"/>
    <col min="8" max="8" width="11.28515625" style="2" customWidth="1"/>
    <col min="9" max="9" width="12.140625" style="2" customWidth="1"/>
    <col min="10" max="10" width="19.140625" style="9" customWidth="1"/>
    <col min="11" max="11" width="13.140625" style="9" bestFit="1" customWidth="1"/>
    <col min="12" max="13" width="9.140625" style="9"/>
    <col min="14" max="16384" width="9.140625" style="2"/>
  </cols>
  <sheetData>
    <row r="1" spans="1:26" ht="24" customHeight="1" x14ac:dyDescent="0.2">
      <c r="B1" s="10"/>
      <c r="C1" s="9"/>
      <c r="D1" s="9"/>
      <c r="E1" s="9"/>
      <c r="F1" s="9"/>
      <c r="G1" s="9"/>
      <c r="H1" s="9"/>
      <c r="I1" s="9"/>
    </row>
    <row r="2" spans="1:26" ht="24" customHeight="1" x14ac:dyDescent="0.25">
      <c r="B2" s="119" t="s">
        <v>12</v>
      </c>
      <c r="C2" s="120"/>
      <c r="D2" s="120"/>
      <c r="E2" s="120"/>
      <c r="F2" s="9"/>
      <c r="G2" s="9"/>
      <c r="H2" s="121" t="s">
        <v>238</v>
      </c>
      <c r="I2" s="121"/>
      <c r="J2" s="121"/>
    </row>
    <row r="3" spans="1:26" ht="23.25" customHeight="1" x14ac:dyDescent="0.2">
      <c r="B3" s="7" t="s">
        <v>13</v>
      </c>
      <c r="C3" s="7" t="s">
        <v>15</v>
      </c>
      <c r="D3" s="7" t="s">
        <v>129</v>
      </c>
      <c r="E3" s="7" t="s">
        <v>130</v>
      </c>
      <c r="F3" s="9"/>
      <c r="G3" s="9"/>
      <c r="H3" s="9"/>
      <c r="I3" s="9"/>
    </row>
    <row r="4" spans="1:26" ht="24" customHeight="1" x14ac:dyDescent="0.2">
      <c r="B4" s="3" t="s">
        <v>16</v>
      </c>
      <c r="C4" s="3">
        <v>1</v>
      </c>
      <c r="D4" s="8">
        <f>SUM(I12:I20)</f>
        <v>12.321708333333333</v>
      </c>
      <c r="E4" s="116">
        <f>SUM(D4:D7)</f>
        <v>280.46437499999996</v>
      </c>
      <c r="F4" s="9"/>
      <c r="G4" s="9"/>
      <c r="H4" s="9"/>
      <c r="I4" s="9"/>
    </row>
    <row r="5" spans="1:26" ht="24" customHeight="1" x14ac:dyDescent="0.2">
      <c r="B5" s="3" t="s">
        <v>17</v>
      </c>
      <c r="C5" s="3">
        <v>1</v>
      </c>
      <c r="D5" s="8">
        <f>SUM(I22:I40)</f>
        <v>39.61</v>
      </c>
      <c r="E5" s="117"/>
      <c r="F5" s="9"/>
      <c r="G5" s="9"/>
      <c r="H5" s="9"/>
      <c r="I5" s="9"/>
    </row>
    <row r="6" spans="1:26" ht="24" customHeight="1" x14ac:dyDescent="0.2">
      <c r="B6" s="3" t="s">
        <v>19</v>
      </c>
      <c r="C6" s="3">
        <v>1</v>
      </c>
      <c r="D6" s="8">
        <f>SUM(I42:I60)</f>
        <v>210.67</v>
      </c>
      <c r="E6" s="117"/>
      <c r="F6" s="9"/>
      <c r="G6" s="9"/>
      <c r="H6" s="9"/>
      <c r="I6" s="9"/>
    </row>
    <row r="7" spans="1:26" ht="24" customHeight="1" x14ac:dyDescent="0.2">
      <c r="B7" s="3" t="s">
        <v>18</v>
      </c>
      <c r="C7" s="3">
        <v>1</v>
      </c>
      <c r="D7" s="8">
        <f>SUM(I62:I74)</f>
        <v>17.862666666666666</v>
      </c>
      <c r="E7" s="118"/>
      <c r="F7" s="9"/>
      <c r="G7" s="9"/>
      <c r="H7" s="9"/>
      <c r="I7" s="9"/>
    </row>
    <row r="8" spans="1:26" ht="24" customHeight="1" x14ac:dyDescent="0.2">
      <c r="B8" s="9"/>
      <c r="C8" s="9"/>
      <c r="D8" s="9"/>
      <c r="E8" s="9"/>
      <c r="F8" s="9"/>
      <c r="G8" s="9"/>
      <c r="H8" s="9"/>
      <c r="I8" s="9"/>
    </row>
    <row r="9" spans="1:26" s="9" customFormat="1" x14ac:dyDescent="0.2">
      <c r="B9" s="10"/>
    </row>
    <row r="10" spans="1:26" ht="18" customHeight="1" x14ac:dyDescent="0.2">
      <c r="B10" s="115" t="s">
        <v>14</v>
      </c>
      <c r="C10" s="115" t="s">
        <v>10</v>
      </c>
      <c r="D10" s="115" t="s">
        <v>9</v>
      </c>
      <c r="E10" s="115" t="s">
        <v>8</v>
      </c>
      <c r="F10" s="115"/>
      <c r="G10" s="6" t="s">
        <v>1</v>
      </c>
      <c r="H10" s="115" t="s">
        <v>11</v>
      </c>
      <c r="I10" s="115" t="s">
        <v>2</v>
      </c>
    </row>
    <row r="11" spans="1:26" ht="36" customHeight="1" x14ac:dyDescent="0.2">
      <c r="B11" s="115"/>
      <c r="C11" s="115"/>
      <c r="D11" s="115"/>
      <c r="E11" s="6" t="s">
        <v>3</v>
      </c>
      <c r="F11" s="6" t="s">
        <v>22</v>
      </c>
      <c r="G11" s="13" t="s">
        <v>223</v>
      </c>
      <c r="H11" s="115"/>
      <c r="I11" s="115"/>
    </row>
    <row r="12" spans="1:26" s="4" customFormat="1" ht="25.5" customHeight="1" x14ac:dyDescent="0.2">
      <c r="A12" s="9"/>
      <c r="B12" s="3" t="s">
        <v>16</v>
      </c>
      <c r="C12" s="3" t="s">
        <v>32</v>
      </c>
      <c r="D12" s="3" t="s">
        <v>33</v>
      </c>
      <c r="E12" s="3" t="s">
        <v>30</v>
      </c>
      <c r="F12" s="3" t="s">
        <v>0</v>
      </c>
      <c r="G12" s="3">
        <v>2</v>
      </c>
      <c r="H12" s="8">
        <f>3.32/96*10.25</f>
        <v>0.35447916666666668</v>
      </c>
      <c r="I12" s="8">
        <f t="shared" ref="I12:I14" si="0">H12*G12</f>
        <v>0.70895833333333336</v>
      </c>
      <c r="J12" s="9"/>
      <c r="K12" s="9"/>
      <c r="L12" s="9"/>
      <c r="M12" s="9"/>
      <c r="N12" s="2"/>
      <c r="O12" s="2"/>
      <c r="P12" s="2"/>
      <c r="Q12" s="2"/>
      <c r="R12" s="2"/>
      <c r="S12" s="2"/>
      <c r="T12" s="2"/>
      <c r="U12" s="2"/>
      <c r="V12" s="2"/>
      <c r="W12" s="2"/>
      <c r="X12" s="2"/>
      <c r="Y12" s="2"/>
      <c r="Z12" s="2"/>
    </row>
    <row r="13" spans="1:26" s="4" customFormat="1" ht="25.5" customHeight="1" x14ac:dyDescent="0.2">
      <c r="A13" s="9"/>
      <c r="B13" s="3" t="s">
        <v>16</v>
      </c>
      <c r="C13" s="3" t="s">
        <v>35</v>
      </c>
      <c r="D13" s="3" t="s">
        <v>34</v>
      </c>
      <c r="E13" s="3" t="s">
        <v>30</v>
      </c>
      <c r="F13" s="3" t="s">
        <v>0</v>
      </c>
      <c r="G13" s="3">
        <v>1</v>
      </c>
      <c r="H13" s="8">
        <f>3.32/96*7</f>
        <v>0.24208333333333334</v>
      </c>
      <c r="I13" s="8">
        <f t="shared" si="0"/>
        <v>0.24208333333333334</v>
      </c>
      <c r="J13" s="9"/>
      <c r="K13" s="9"/>
      <c r="L13" s="9"/>
      <c r="M13" s="9"/>
      <c r="N13" s="2"/>
      <c r="O13" s="2"/>
      <c r="P13" s="2"/>
      <c r="Q13" s="2"/>
      <c r="R13" s="2"/>
      <c r="S13" s="2"/>
      <c r="T13" s="2"/>
      <c r="U13" s="2"/>
      <c r="V13" s="2"/>
      <c r="W13" s="2"/>
      <c r="X13" s="2"/>
      <c r="Y13" s="2"/>
      <c r="Z13" s="2"/>
    </row>
    <row r="14" spans="1:26" s="4" customFormat="1" ht="25.5" customHeight="1" x14ac:dyDescent="0.2">
      <c r="A14" s="9"/>
      <c r="B14" s="3" t="s">
        <v>16</v>
      </c>
      <c r="C14" s="3" t="s">
        <v>36</v>
      </c>
      <c r="D14" s="3" t="s">
        <v>37</v>
      </c>
      <c r="E14" s="3" t="s">
        <v>30</v>
      </c>
      <c r="F14" s="3" t="s">
        <v>0</v>
      </c>
      <c r="G14" s="3">
        <v>1</v>
      </c>
      <c r="H14" s="8">
        <f>3.32/96*10</f>
        <v>0.34583333333333333</v>
      </c>
      <c r="I14" s="8">
        <f t="shared" si="0"/>
        <v>0.34583333333333333</v>
      </c>
      <c r="J14" s="9"/>
      <c r="K14" s="9"/>
      <c r="L14" s="9"/>
      <c r="M14" s="9"/>
      <c r="N14" s="2"/>
      <c r="O14" s="2"/>
      <c r="P14" s="2"/>
      <c r="Q14" s="2"/>
      <c r="R14" s="2"/>
      <c r="S14" s="2"/>
      <c r="T14" s="2"/>
      <c r="U14" s="2"/>
      <c r="V14" s="2"/>
      <c r="W14" s="2"/>
      <c r="X14" s="2"/>
      <c r="Y14" s="2"/>
      <c r="Z14" s="2"/>
    </row>
    <row r="15" spans="1:26" s="4" customFormat="1" ht="25.5" customHeight="1" x14ac:dyDescent="0.2">
      <c r="A15" s="9"/>
      <c r="B15" s="3" t="s">
        <v>16</v>
      </c>
      <c r="C15" s="3" t="s">
        <v>38</v>
      </c>
      <c r="D15" s="3" t="s">
        <v>37</v>
      </c>
      <c r="E15" s="3" t="s">
        <v>30</v>
      </c>
      <c r="F15" s="3" t="s">
        <v>0</v>
      </c>
      <c r="G15" s="3">
        <v>1</v>
      </c>
      <c r="H15" s="8">
        <f>3.32/96*10</f>
        <v>0.34583333333333333</v>
      </c>
      <c r="I15" s="8">
        <f t="shared" ref="I15:I66" si="1">H15*G15</f>
        <v>0.34583333333333333</v>
      </c>
      <c r="J15" s="9"/>
      <c r="K15" s="9"/>
      <c r="L15" s="9"/>
      <c r="M15" s="9"/>
      <c r="N15" s="2"/>
      <c r="O15" s="2"/>
      <c r="P15" s="2"/>
      <c r="Q15" s="2"/>
      <c r="R15" s="2"/>
      <c r="S15" s="2"/>
      <c r="T15" s="2"/>
      <c r="U15" s="2"/>
      <c r="V15" s="2"/>
      <c r="W15" s="2"/>
      <c r="X15" s="2"/>
      <c r="Y15" s="2"/>
      <c r="Z15" s="2"/>
    </row>
    <row r="16" spans="1:26" s="4" customFormat="1" ht="25.5" customHeight="1" x14ac:dyDescent="0.2">
      <c r="A16" s="9"/>
      <c r="B16" s="3" t="s">
        <v>16</v>
      </c>
      <c r="C16" s="3" t="s">
        <v>39</v>
      </c>
      <c r="D16" s="3" t="s">
        <v>46</v>
      </c>
      <c r="E16" s="3" t="s">
        <v>30</v>
      </c>
      <c r="F16" s="5" t="s">
        <v>40</v>
      </c>
      <c r="G16" s="3">
        <v>2</v>
      </c>
      <c r="H16" s="8">
        <v>2.86</v>
      </c>
      <c r="I16" s="8">
        <f t="shared" si="1"/>
        <v>5.72</v>
      </c>
      <c r="J16" s="9"/>
      <c r="K16" s="9"/>
      <c r="L16" s="9"/>
      <c r="M16" s="9"/>
      <c r="N16" s="2"/>
      <c r="O16" s="2"/>
      <c r="P16" s="2"/>
      <c r="Q16" s="2"/>
      <c r="R16" s="2"/>
      <c r="S16" s="2"/>
      <c r="T16" s="2"/>
      <c r="U16" s="2"/>
      <c r="V16" s="2"/>
      <c r="W16" s="2"/>
      <c r="X16" s="2"/>
      <c r="Y16" s="2"/>
      <c r="Z16" s="2"/>
    </row>
    <row r="17" spans="1:26" s="4" customFormat="1" ht="25.5" customHeight="1" x14ac:dyDescent="0.2">
      <c r="A17" s="9"/>
      <c r="B17" s="3" t="s">
        <v>16</v>
      </c>
      <c r="C17" s="3" t="s">
        <v>56</v>
      </c>
      <c r="D17" s="14" t="s">
        <v>42</v>
      </c>
      <c r="E17" s="3" t="s">
        <v>30</v>
      </c>
      <c r="F17" s="5" t="s">
        <v>41</v>
      </c>
      <c r="G17" s="3">
        <v>12</v>
      </c>
      <c r="H17" s="8">
        <f>0.1345</f>
        <v>0.13450000000000001</v>
      </c>
      <c r="I17" s="8">
        <f t="shared" si="1"/>
        <v>1.6140000000000001</v>
      </c>
      <c r="J17" s="9"/>
      <c r="K17" s="9"/>
      <c r="L17" s="9"/>
      <c r="M17" s="9"/>
      <c r="N17" s="2"/>
      <c r="O17" s="2"/>
      <c r="P17" s="2"/>
      <c r="Q17" s="2"/>
      <c r="R17" s="2"/>
      <c r="S17" s="2"/>
      <c r="T17" s="2"/>
      <c r="U17" s="2"/>
      <c r="V17" s="2"/>
      <c r="W17" s="2"/>
      <c r="X17" s="2"/>
      <c r="Y17" s="2"/>
      <c r="Z17" s="2"/>
    </row>
    <row r="18" spans="1:26" s="4" customFormat="1" ht="25.5" customHeight="1" x14ac:dyDescent="0.2">
      <c r="A18" s="9"/>
      <c r="B18" s="3" t="s">
        <v>16</v>
      </c>
      <c r="C18" s="3" t="s">
        <v>57</v>
      </c>
      <c r="D18" s="3" t="s">
        <v>43</v>
      </c>
      <c r="E18" s="3" t="s">
        <v>30</v>
      </c>
      <c r="F18" s="3" t="s">
        <v>0</v>
      </c>
      <c r="G18" s="3">
        <v>10</v>
      </c>
      <c r="H18" s="8">
        <f>0.1345</f>
        <v>0.13450000000000001</v>
      </c>
      <c r="I18" s="8">
        <f t="shared" si="1"/>
        <v>1.3450000000000002</v>
      </c>
      <c r="J18" s="9"/>
      <c r="K18" s="9"/>
      <c r="L18" s="9"/>
      <c r="M18" s="9"/>
      <c r="N18" s="2"/>
      <c r="O18" s="2"/>
      <c r="P18" s="2"/>
      <c r="Q18" s="2"/>
      <c r="R18" s="2"/>
      <c r="S18" s="2"/>
      <c r="T18" s="2"/>
      <c r="U18" s="2"/>
      <c r="V18" s="2"/>
      <c r="W18" s="2"/>
      <c r="X18" s="2"/>
      <c r="Y18" s="2"/>
      <c r="Z18" s="2"/>
    </row>
    <row r="19" spans="1:26" s="4" customFormat="1" ht="25.5" customHeight="1" x14ac:dyDescent="0.2">
      <c r="A19" s="9"/>
      <c r="B19" s="3" t="s">
        <v>16</v>
      </c>
      <c r="C19" s="3" t="s">
        <v>44</v>
      </c>
      <c r="D19" s="3" t="s">
        <v>45</v>
      </c>
      <c r="E19" s="3" t="s">
        <v>30</v>
      </c>
      <c r="F19" s="3" t="s">
        <v>0</v>
      </c>
      <c r="G19" s="3">
        <v>12</v>
      </c>
      <c r="H19" s="8">
        <v>0.15</v>
      </c>
      <c r="I19" s="8">
        <f t="shared" ref="I19" si="2">H19*G19</f>
        <v>1.7999999999999998</v>
      </c>
      <c r="J19" s="9"/>
      <c r="K19" s="9"/>
      <c r="L19" s="9"/>
      <c r="M19" s="9"/>
      <c r="N19" s="2"/>
      <c r="O19" s="2"/>
      <c r="P19" s="2"/>
      <c r="Q19" s="2"/>
      <c r="R19" s="2"/>
      <c r="S19" s="2"/>
      <c r="T19" s="2"/>
      <c r="U19" s="2"/>
      <c r="V19" s="2"/>
      <c r="W19" s="2"/>
      <c r="X19" s="2"/>
      <c r="Y19" s="2"/>
      <c r="Z19" s="2"/>
    </row>
    <row r="20" spans="1:26" s="4" customFormat="1" ht="25.5" customHeight="1" x14ac:dyDescent="0.2">
      <c r="A20" s="9"/>
      <c r="B20" s="3" t="s">
        <v>16</v>
      </c>
      <c r="C20" s="3" t="s">
        <v>56</v>
      </c>
      <c r="D20" s="14" t="s">
        <v>47</v>
      </c>
      <c r="E20" s="3" t="s">
        <v>30</v>
      </c>
      <c r="F20" s="3" t="s">
        <v>0</v>
      </c>
      <c r="G20" s="3">
        <v>4</v>
      </c>
      <c r="H20" s="8">
        <v>0.05</v>
      </c>
      <c r="I20" s="8">
        <f t="shared" ref="I20" si="3">H20*G20</f>
        <v>0.2</v>
      </c>
      <c r="J20" s="9"/>
      <c r="K20" s="9"/>
      <c r="L20" s="9"/>
      <c r="M20" s="9"/>
      <c r="N20" s="2"/>
      <c r="O20" s="2"/>
      <c r="P20" s="2"/>
      <c r="Q20" s="2"/>
      <c r="R20" s="2"/>
      <c r="S20" s="2"/>
      <c r="T20" s="2"/>
      <c r="U20" s="2"/>
      <c r="V20" s="2"/>
      <c r="W20" s="2"/>
      <c r="X20" s="2"/>
      <c r="Y20" s="2"/>
      <c r="Z20" s="2"/>
    </row>
    <row r="21" spans="1:26" s="4" customFormat="1" ht="25.5" customHeight="1" x14ac:dyDescent="0.2">
      <c r="A21" s="9"/>
      <c r="B21" s="3"/>
      <c r="C21" s="3"/>
      <c r="D21" s="3"/>
      <c r="E21" s="3"/>
      <c r="F21" s="3"/>
      <c r="G21" s="3"/>
      <c r="H21" s="8"/>
      <c r="I21" s="8"/>
      <c r="J21" s="9"/>
      <c r="K21" s="9"/>
      <c r="L21" s="9"/>
      <c r="M21" s="9"/>
      <c r="N21" s="2"/>
      <c r="O21" s="2"/>
      <c r="P21" s="2"/>
      <c r="Q21" s="2"/>
      <c r="R21" s="2"/>
      <c r="S21" s="2"/>
      <c r="T21" s="2"/>
      <c r="U21" s="2"/>
      <c r="V21" s="2"/>
      <c r="W21" s="2"/>
      <c r="X21" s="2"/>
      <c r="Y21" s="2"/>
      <c r="Z21" s="2"/>
    </row>
    <row r="22" spans="1:26" s="4" customFormat="1" ht="25.5" customHeight="1" x14ac:dyDescent="0.2">
      <c r="A22" s="9"/>
      <c r="B22" s="3" t="s">
        <v>17</v>
      </c>
      <c r="C22" s="3" t="s">
        <v>48</v>
      </c>
      <c r="D22" s="3" t="s">
        <v>50</v>
      </c>
      <c r="E22" s="3" t="s">
        <v>30</v>
      </c>
      <c r="F22" s="3" t="s">
        <v>0</v>
      </c>
      <c r="G22" s="3">
        <v>1</v>
      </c>
      <c r="H22" s="8">
        <v>2</v>
      </c>
      <c r="I22" s="8">
        <f t="shared" ref="I22:I23" si="4">H22*G22</f>
        <v>2</v>
      </c>
      <c r="J22" s="9"/>
      <c r="K22" s="9"/>
      <c r="L22" s="9"/>
      <c r="M22" s="9"/>
      <c r="N22" s="2"/>
      <c r="O22" s="2"/>
      <c r="P22" s="2"/>
      <c r="Q22" s="2"/>
      <c r="R22" s="2"/>
      <c r="S22" s="2"/>
      <c r="T22" s="2"/>
      <c r="U22" s="2"/>
      <c r="V22" s="2"/>
      <c r="W22" s="2"/>
      <c r="X22" s="2"/>
      <c r="Y22" s="2"/>
      <c r="Z22" s="2"/>
    </row>
    <row r="23" spans="1:26" s="4" customFormat="1" ht="25.5" customHeight="1" x14ac:dyDescent="0.2">
      <c r="A23" s="9"/>
      <c r="B23" s="3" t="s">
        <v>17</v>
      </c>
      <c r="C23" s="3" t="s">
        <v>48</v>
      </c>
      <c r="D23" s="3" t="s">
        <v>49</v>
      </c>
      <c r="E23" s="3" t="s">
        <v>30</v>
      </c>
      <c r="F23" s="3" t="s">
        <v>0</v>
      </c>
      <c r="G23" s="3">
        <v>1</v>
      </c>
      <c r="H23" s="8">
        <v>2</v>
      </c>
      <c r="I23" s="8">
        <f t="shared" si="4"/>
        <v>2</v>
      </c>
      <c r="J23" s="9"/>
      <c r="K23" s="9"/>
      <c r="L23" s="9"/>
      <c r="M23" s="9"/>
      <c r="N23" s="2"/>
      <c r="O23" s="2"/>
      <c r="P23" s="2"/>
      <c r="Q23" s="2"/>
      <c r="R23" s="2"/>
      <c r="S23" s="2"/>
      <c r="T23" s="2"/>
      <c r="U23" s="2"/>
      <c r="V23" s="2"/>
      <c r="W23" s="2"/>
      <c r="X23" s="2"/>
      <c r="Y23" s="2"/>
      <c r="Z23" s="2"/>
    </row>
    <row r="24" spans="1:26" s="4" customFormat="1" ht="25.5" customHeight="1" x14ac:dyDescent="0.2">
      <c r="A24" s="9"/>
      <c r="B24" s="3" t="s">
        <v>17</v>
      </c>
      <c r="C24" s="3" t="s">
        <v>78</v>
      </c>
      <c r="D24" s="15" t="s">
        <v>77</v>
      </c>
      <c r="E24" s="3" t="s">
        <v>30</v>
      </c>
      <c r="F24" s="5" t="s">
        <v>79</v>
      </c>
      <c r="G24" s="3">
        <v>1</v>
      </c>
      <c r="H24" s="8">
        <v>0.5</v>
      </c>
      <c r="I24" s="8">
        <f t="shared" ref="I24" si="5">H24*G24</f>
        <v>0.5</v>
      </c>
      <c r="J24" s="9"/>
      <c r="K24" s="9"/>
      <c r="L24" s="9"/>
      <c r="M24" s="9"/>
      <c r="N24" s="2"/>
      <c r="O24" s="2"/>
      <c r="P24" s="2"/>
      <c r="Q24" s="2"/>
      <c r="R24" s="2"/>
      <c r="S24" s="2"/>
      <c r="T24" s="2"/>
      <c r="U24" s="2"/>
      <c r="V24" s="2"/>
      <c r="W24" s="2"/>
      <c r="X24" s="2"/>
      <c r="Y24" s="2"/>
      <c r="Z24" s="2"/>
    </row>
    <row r="25" spans="1:26" s="4" customFormat="1" ht="25.5" customHeight="1" x14ac:dyDescent="0.2">
      <c r="A25" s="9"/>
      <c r="B25" s="3" t="s">
        <v>17</v>
      </c>
      <c r="C25" s="3" t="s">
        <v>25</v>
      </c>
      <c r="D25" s="3" t="s">
        <v>51</v>
      </c>
      <c r="E25" s="3" t="s">
        <v>26</v>
      </c>
      <c r="F25" s="5" t="s">
        <v>239</v>
      </c>
      <c r="G25" s="3">
        <v>2</v>
      </c>
      <c r="H25" s="8">
        <f>7.95/10</f>
        <v>0.79500000000000004</v>
      </c>
      <c r="I25" s="8">
        <f t="shared" si="1"/>
        <v>1.59</v>
      </c>
      <c r="J25" s="9"/>
      <c r="K25" s="9"/>
      <c r="L25" s="9"/>
      <c r="M25" s="9"/>
      <c r="N25" s="2"/>
      <c r="O25" s="2"/>
      <c r="P25" s="2"/>
      <c r="Q25" s="2"/>
      <c r="R25" s="2"/>
      <c r="S25" s="2"/>
      <c r="T25" s="2"/>
      <c r="U25" s="2"/>
      <c r="V25" s="2"/>
      <c r="W25" s="2"/>
      <c r="X25" s="2"/>
      <c r="Y25" s="2"/>
      <c r="Z25" s="2"/>
    </row>
    <row r="26" spans="1:26" s="4" customFormat="1" ht="25.5" customHeight="1" x14ac:dyDescent="0.2">
      <c r="A26" s="9"/>
      <c r="B26" s="3" t="s">
        <v>17</v>
      </c>
      <c r="C26" s="3" t="s">
        <v>24</v>
      </c>
      <c r="D26" s="3" t="s">
        <v>23</v>
      </c>
      <c r="E26" s="3" t="s">
        <v>26</v>
      </c>
      <c r="F26" s="5" t="s">
        <v>240</v>
      </c>
      <c r="G26" s="3">
        <v>1</v>
      </c>
      <c r="H26" s="8">
        <v>23.95</v>
      </c>
      <c r="I26" s="8">
        <f t="shared" si="1"/>
        <v>23.95</v>
      </c>
      <c r="J26" s="9"/>
      <c r="K26" s="9"/>
      <c r="L26" s="9"/>
      <c r="M26" s="9"/>
      <c r="N26" s="2"/>
      <c r="O26" s="2"/>
      <c r="P26" s="2"/>
      <c r="Q26" s="2"/>
      <c r="R26" s="2"/>
      <c r="S26" s="2"/>
      <c r="T26" s="2"/>
      <c r="U26" s="2"/>
      <c r="V26" s="2"/>
      <c r="W26" s="2"/>
      <c r="X26" s="2"/>
      <c r="Y26" s="2"/>
      <c r="Z26" s="2"/>
    </row>
    <row r="27" spans="1:26" s="4" customFormat="1" ht="25.5" customHeight="1" x14ac:dyDescent="0.2">
      <c r="A27" s="9"/>
      <c r="B27" s="3" t="s">
        <v>17</v>
      </c>
      <c r="C27" s="3" t="s">
        <v>39</v>
      </c>
      <c r="D27" s="15" t="s">
        <v>60</v>
      </c>
      <c r="E27" s="3" t="s">
        <v>30</v>
      </c>
      <c r="F27" s="3" t="s">
        <v>0</v>
      </c>
      <c r="G27" s="3">
        <v>1</v>
      </c>
      <c r="H27" s="8">
        <v>2</v>
      </c>
      <c r="I27" s="8">
        <f t="shared" si="1"/>
        <v>2</v>
      </c>
      <c r="J27" s="9"/>
      <c r="K27" s="9"/>
      <c r="L27" s="9"/>
      <c r="M27" s="9"/>
      <c r="N27" s="2"/>
      <c r="O27" s="2"/>
      <c r="P27" s="2"/>
      <c r="Q27" s="2"/>
      <c r="R27" s="2"/>
      <c r="S27" s="2"/>
      <c r="T27" s="2"/>
      <c r="U27" s="2"/>
      <c r="V27" s="2"/>
      <c r="W27" s="2"/>
      <c r="X27" s="2"/>
      <c r="Y27" s="2"/>
      <c r="Z27" s="2"/>
    </row>
    <row r="28" spans="1:26" s="4" customFormat="1" ht="25.5" customHeight="1" x14ac:dyDescent="0.2">
      <c r="A28" s="9"/>
      <c r="B28" s="3" t="s">
        <v>17</v>
      </c>
      <c r="C28" s="3" t="s">
        <v>54</v>
      </c>
      <c r="D28" s="15" t="s">
        <v>55</v>
      </c>
      <c r="E28" s="3" t="s">
        <v>30</v>
      </c>
      <c r="F28" s="3" t="s">
        <v>0</v>
      </c>
      <c r="G28" s="3">
        <v>2</v>
      </c>
      <c r="H28" s="8">
        <v>0.15</v>
      </c>
      <c r="I28" s="8">
        <f t="shared" ref="I28:I29" si="6">H28*G28</f>
        <v>0.3</v>
      </c>
      <c r="J28" s="9"/>
      <c r="K28" s="9"/>
      <c r="L28" s="9"/>
      <c r="M28" s="9"/>
      <c r="N28" s="2"/>
      <c r="O28" s="2"/>
      <c r="P28" s="2"/>
      <c r="Q28" s="2"/>
      <c r="R28" s="2"/>
      <c r="S28" s="2"/>
      <c r="T28" s="2"/>
      <c r="U28" s="2"/>
      <c r="V28" s="2"/>
      <c r="W28" s="2"/>
      <c r="X28" s="2"/>
      <c r="Y28" s="2"/>
      <c r="Z28" s="2"/>
    </row>
    <row r="29" spans="1:26" s="4" customFormat="1" ht="25.5" customHeight="1" x14ac:dyDescent="0.2">
      <c r="A29" s="9"/>
      <c r="B29" s="3" t="s">
        <v>17</v>
      </c>
      <c r="C29" s="3" t="s">
        <v>56</v>
      </c>
      <c r="D29" s="15" t="s">
        <v>55</v>
      </c>
      <c r="E29" s="3" t="s">
        <v>30</v>
      </c>
      <c r="F29" s="3" t="s">
        <v>0</v>
      </c>
      <c r="G29" s="3">
        <v>3</v>
      </c>
      <c r="H29" s="8">
        <v>0.1</v>
      </c>
      <c r="I29" s="8">
        <f t="shared" si="6"/>
        <v>0.30000000000000004</v>
      </c>
      <c r="J29" s="9"/>
      <c r="K29" s="9"/>
      <c r="L29" s="9"/>
      <c r="M29" s="9"/>
      <c r="N29" s="2"/>
      <c r="O29" s="2"/>
      <c r="P29" s="2"/>
      <c r="Q29" s="2"/>
      <c r="R29" s="2"/>
      <c r="S29" s="2"/>
      <c r="T29" s="2"/>
      <c r="U29" s="2"/>
      <c r="V29" s="2"/>
      <c r="W29" s="2"/>
      <c r="X29" s="2"/>
      <c r="Y29" s="2"/>
      <c r="Z29" s="2"/>
    </row>
    <row r="30" spans="1:26" s="4" customFormat="1" ht="25.5" customHeight="1" x14ac:dyDescent="0.2">
      <c r="A30" s="9"/>
      <c r="B30" s="3" t="s">
        <v>17</v>
      </c>
      <c r="C30" s="3" t="s">
        <v>57</v>
      </c>
      <c r="D30" s="3" t="s">
        <v>76</v>
      </c>
      <c r="E30" s="3" t="s">
        <v>30</v>
      </c>
      <c r="F30" s="3" t="s">
        <v>0</v>
      </c>
      <c r="G30" s="3">
        <v>1</v>
      </c>
      <c r="H30" s="8">
        <v>7.0000000000000007E-2</v>
      </c>
      <c r="I30" s="8">
        <f t="shared" ref="I30" si="7">H30*G30</f>
        <v>7.0000000000000007E-2</v>
      </c>
      <c r="J30" s="9"/>
      <c r="K30" s="9"/>
      <c r="L30" s="9"/>
      <c r="M30" s="9"/>
      <c r="N30" s="2"/>
      <c r="O30" s="2"/>
      <c r="P30" s="2"/>
      <c r="Q30" s="2"/>
      <c r="R30" s="2"/>
      <c r="S30" s="2"/>
      <c r="T30" s="2"/>
      <c r="U30" s="2"/>
      <c r="V30" s="2"/>
      <c r="W30" s="2"/>
      <c r="X30" s="2"/>
      <c r="Y30" s="2"/>
      <c r="Z30" s="2"/>
    </row>
    <row r="31" spans="1:26" s="4" customFormat="1" ht="25.5" customHeight="1" x14ac:dyDescent="0.2">
      <c r="A31" s="9"/>
      <c r="B31" s="3" t="s">
        <v>17</v>
      </c>
      <c r="C31" s="3" t="s">
        <v>39</v>
      </c>
      <c r="D31" s="3" t="s">
        <v>53</v>
      </c>
      <c r="E31" s="3" t="s">
        <v>30</v>
      </c>
      <c r="F31" s="3" t="s">
        <v>0</v>
      </c>
      <c r="G31" s="3">
        <v>4</v>
      </c>
      <c r="H31" s="8">
        <v>1</v>
      </c>
      <c r="I31" s="8">
        <f t="shared" si="1"/>
        <v>4</v>
      </c>
      <c r="J31" s="9"/>
      <c r="K31" s="9"/>
      <c r="L31" s="9"/>
      <c r="M31" s="9"/>
      <c r="N31" s="2"/>
      <c r="O31" s="2"/>
      <c r="P31" s="2"/>
      <c r="Q31" s="2"/>
      <c r="R31" s="2"/>
      <c r="S31" s="2"/>
      <c r="T31" s="2"/>
      <c r="U31" s="2"/>
      <c r="V31" s="2"/>
      <c r="W31" s="2"/>
      <c r="X31" s="2"/>
      <c r="Y31" s="2"/>
      <c r="Z31" s="2"/>
    </row>
    <row r="32" spans="1:26" s="4" customFormat="1" ht="25.5" customHeight="1" x14ac:dyDescent="0.2">
      <c r="A32" s="9"/>
      <c r="B32" s="3" t="s">
        <v>17</v>
      </c>
      <c r="C32" s="3" t="s">
        <v>59</v>
      </c>
      <c r="D32" s="3" t="s">
        <v>58</v>
      </c>
      <c r="E32" s="3" t="s">
        <v>30</v>
      </c>
      <c r="F32" s="3" t="s">
        <v>0</v>
      </c>
      <c r="G32" s="3">
        <v>5</v>
      </c>
      <c r="H32" s="8">
        <v>0.09</v>
      </c>
      <c r="I32" s="8">
        <f t="shared" ref="I32" si="8">H32*G32</f>
        <v>0.44999999999999996</v>
      </c>
      <c r="J32" s="9"/>
      <c r="K32" s="9"/>
      <c r="L32" s="9"/>
      <c r="M32" s="9"/>
      <c r="N32" s="2"/>
      <c r="O32" s="2"/>
      <c r="P32" s="2"/>
      <c r="Q32" s="2"/>
      <c r="R32" s="2"/>
      <c r="S32" s="2"/>
      <c r="T32" s="2"/>
      <c r="U32" s="2"/>
      <c r="V32" s="2"/>
      <c r="W32" s="2"/>
      <c r="X32" s="2"/>
      <c r="Y32" s="2"/>
      <c r="Z32" s="2"/>
    </row>
    <row r="33" spans="1:26" s="4" customFormat="1" ht="25.5" customHeight="1" x14ac:dyDescent="0.2">
      <c r="A33" s="9"/>
      <c r="B33" s="3" t="s">
        <v>17</v>
      </c>
      <c r="C33" s="3" t="s">
        <v>56</v>
      </c>
      <c r="D33" s="3" t="s">
        <v>52</v>
      </c>
      <c r="E33" s="3" t="s">
        <v>30</v>
      </c>
      <c r="F33" s="3" t="s">
        <v>0</v>
      </c>
      <c r="G33" s="3">
        <v>14</v>
      </c>
      <c r="H33" s="8">
        <v>0.05</v>
      </c>
      <c r="I33" s="8">
        <f t="shared" ref="I33" si="9">H33*G33</f>
        <v>0.70000000000000007</v>
      </c>
      <c r="J33" s="9"/>
      <c r="K33" s="9"/>
      <c r="L33" s="9"/>
      <c r="M33" s="9"/>
      <c r="N33" s="2"/>
      <c r="O33" s="2"/>
      <c r="P33" s="2"/>
      <c r="Q33" s="2"/>
      <c r="R33" s="2"/>
      <c r="S33" s="2"/>
      <c r="T33" s="2"/>
      <c r="U33" s="2"/>
      <c r="V33" s="2"/>
      <c r="W33" s="2"/>
      <c r="X33" s="2"/>
      <c r="Y33" s="2"/>
      <c r="Z33" s="2"/>
    </row>
    <row r="34" spans="1:26" s="4" customFormat="1" ht="25.5" customHeight="1" x14ac:dyDescent="0.2">
      <c r="A34" s="9"/>
      <c r="B34" s="3" t="s">
        <v>17</v>
      </c>
      <c r="C34" s="3" t="s">
        <v>74</v>
      </c>
      <c r="D34" s="3" t="s">
        <v>75</v>
      </c>
      <c r="E34" s="3" t="s">
        <v>30</v>
      </c>
      <c r="F34" s="3" t="s">
        <v>0</v>
      </c>
      <c r="G34" s="3">
        <v>12</v>
      </c>
      <c r="H34" s="8">
        <v>0.01</v>
      </c>
      <c r="I34" s="8">
        <f t="shared" ref="I34:I35" si="10">H34*G34</f>
        <v>0.12</v>
      </c>
      <c r="J34" s="9"/>
      <c r="K34" s="9"/>
      <c r="L34" s="9"/>
      <c r="M34" s="9"/>
      <c r="N34" s="2"/>
      <c r="O34" s="2"/>
      <c r="P34" s="2"/>
      <c r="Q34" s="2"/>
      <c r="R34" s="2"/>
      <c r="S34" s="2"/>
      <c r="T34" s="2"/>
      <c r="U34" s="2"/>
      <c r="V34" s="2"/>
      <c r="W34" s="2"/>
      <c r="X34" s="2"/>
      <c r="Y34" s="2"/>
      <c r="Z34" s="2"/>
    </row>
    <row r="35" spans="1:26" s="4" customFormat="1" ht="25.5" customHeight="1" x14ac:dyDescent="0.2">
      <c r="A35" s="9"/>
      <c r="B35" s="3" t="s">
        <v>17</v>
      </c>
      <c r="C35" s="3" t="s">
        <v>221</v>
      </c>
      <c r="D35" s="3" t="s">
        <v>222</v>
      </c>
      <c r="E35" s="3" t="s">
        <v>26</v>
      </c>
      <c r="F35" s="5" t="s">
        <v>241</v>
      </c>
      <c r="G35" s="3">
        <v>2</v>
      </c>
      <c r="H35" s="8">
        <f>1.63/2</f>
        <v>0.81499999999999995</v>
      </c>
      <c r="I35" s="8">
        <f t="shared" si="10"/>
        <v>1.63</v>
      </c>
      <c r="J35" s="9"/>
      <c r="K35" s="9"/>
      <c r="L35" s="9"/>
      <c r="M35" s="9"/>
      <c r="N35" s="2"/>
      <c r="O35" s="2"/>
      <c r="P35" s="2"/>
      <c r="Q35" s="2"/>
      <c r="R35" s="2"/>
      <c r="S35" s="2"/>
      <c r="T35" s="2"/>
      <c r="U35" s="2"/>
      <c r="V35" s="2"/>
      <c r="W35" s="2"/>
      <c r="X35" s="2"/>
      <c r="Y35" s="2"/>
      <c r="Z35" s="2"/>
    </row>
    <row r="36" spans="1:26" s="4" customFormat="1" ht="25.5" customHeight="1" x14ac:dyDescent="0.2">
      <c r="A36" s="9"/>
      <c r="B36" s="3" t="s">
        <v>17</v>
      </c>
      <c r="C36" s="3" t="s">
        <v>61</v>
      </c>
      <c r="D36" s="3" t="s">
        <v>73</v>
      </c>
      <c r="E36" s="3" t="s">
        <v>67</v>
      </c>
      <c r="F36" s="3" t="s">
        <v>0</v>
      </c>
      <c r="G36" s="3">
        <v>1</v>
      </c>
      <c r="H36" s="8" t="s">
        <v>66</v>
      </c>
      <c r="I36" s="8" t="s">
        <v>65</v>
      </c>
      <c r="J36" s="9"/>
      <c r="K36" s="9"/>
      <c r="L36" s="9"/>
      <c r="M36" s="9"/>
      <c r="N36" s="2"/>
      <c r="O36" s="2"/>
      <c r="P36" s="2"/>
      <c r="Q36" s="2"/>
      <c r="R36" s="2"/>
      <c r="S36" s="2"/>
      <c r="T36" s="2"/>
      <c r="U36" s="2"/>
      <c r="V36" s="2"/>
      <c r="W36" s="2"/>
      <c r="X36" s="2"/>
      <c r="Y36" s="2"/>
      <c r="Z36" s="2"/>
    </row>
    <row r="37" spans="1:26" s="4" customFormat="1" ht="25.5" customHeight="1" x14ac:dyDescent="0.2">
      <c r="A37" s="9"/>
      <c r="B37" s="3" t="s">
        <v>17</v>
      </c>
      <c r="C37" s="3" t="s">
        <v>68</v>
      </c>
      <c r="D37" s="3" t="s">
        <v>72</v>
      </c>
      <c r="E37" s="3" t="s">
        <v>67</v>
      </c>
      <c r="F37" s="3" t="s">
        <v>0</v>
      </c>
      <c r="G37" s="3">
        <v>1</v>
      </c>
      <c r="H37" s="8" t="s">
        <v>66</v>
      </c>
      <c r="I37" s="8" t="s">
        <v>65</v>
      </c>
      <c r="J37" s="9"/>
      <c r="K37" s="9"/>
      <c r="L37" s="9"/>
      <c r="M37" s="9"/>
      <c r="N37" s="2"/>
      <c r="O37" s="2"/>
      <c r="P37" s="2"/>
      <c r="Q37" s="2"/>
      <c r="R37" s="2"/>
      <c r="S37" s="2"/>
      <c r="T37" s="2"/>
      <c r="U37" s="2"/>
      <c r="V37" s="2"/>
      <c r="W37" s="2"/>
      <c r="X37" s="2"/>
      <c r="Y37" s="2"/>
      <c r="Z37" s="2"/>
    </row>
    <row r="38" spans="1:26" s="4" customFormat="1" ht="25.5" customHeight="1" x14ac:dyDescent="0.2">
      <c r="A38" s="9"/>
      <c r="B38" s="3" t="s">
        <v>17</v>
      </c>
      <c r="C38" s="3" t="s">
        <v>62</v>
      </c>
      <c r="D38" s="3" t="s">
        <v>71</v>
      </c>
      <c r="E38" s="3" t="s">
        <v>67</v>
      </c>
      <c r="F38" s="3" t="s">
        <v>0</v>
      </c>
      <c r="G38" s="3">
        <v>1</v>
      </c>
      <c r="H38" s="8" t="s">
        <v>66</v>
      </c>
      <c r="I38" s="8" t="s">
        <v>65</v>
      </c>
      <c r="J38" s="9"/>
      <c r="K38" s="9"/>
      <c r="L38" s="9"/>
      <c r="M38" s="9"/>
      <c r="N38" s="2"/>
      <c r="O38" s="2"/>
      <c r="P38" s="2"/>
      <c r="Q38" s="2"/>
      <c r="R38" s="2"/>
      <c r="S38" s="2"/>
      <c r="T38" s="2"/>
      <c r="U38" s="2"/>
      <c r="V38" s="2"/>
      <c r="W38" s="2"/>
      <c r="X38" s="2"/>
      <c r="Y38" s="2"/>
      <c r="Z38" s="2"/>
    </row>
    <row r="39" spans="1:26" s="4" customFormat="1" ht="25.5" customHeight="1" x14ac:dyDescent="0.2">
      <c r="A39" s="9"/>
      <c r="B39" s="3" t="s">
        <v>17</v>
      </c>
      <c r="C39" s="3" t="s">
        <v>63</v>
      </c>
      <c r="D39" s="3" t="s">
        <v>69</v>
      </c>
      <c r="E39" s="3" t="s">
        <v>67</v>
      </c>
      <c r="F39" s="3" t="s">
        <v>0</v>
      </c>
      <c r="G39" s="3">
        <v>1</v>
      </c>
      <c r="H39" s="8" t="s">
        <v>66</v>
      </c>
      <c r="I39" s="8" t="s">
        <v>65</v>
      </c>
      <c r="J39" s="9"/>
      <c r="K39" s="9"/>
      <c r="L39" s="9"/>
      <c r="M39" s="9"/>
      <c r="N39" s="2"/>
      <c r="O39" s="2"/>
      <c r="P39" s="2"/>
      <c r="Q39" s="2"/>
      <c r="R39" s="2"/>
      <c r="S39" s="2"/>
      <c r="T39" s="2"/>
      <c r="U39" s="2"/>
      <c r="V39" s="2"/>
      <c r="W39" s="2"/>
      <c r="X39" s="2"/>
      <c r="Y39" s="2"/>
      <c r="Z39" s="2"/>
    </row>
    <row r="40" spans="1:26" s="4" customFormat="1" ht="25.5" customHeight="1" x14ac:dyDescent="0.2">
      <c r="A40" s="9"/>
      <c r="B40" s="3" t="s">
        <v>17</v>
      </c>
      <c r="C40" s="3" t="s">
        <v>64</v>
      </c>
      <c r="D40" s="3" t="s">
        <v>70</v>
      </c>
      <c r="E40" s="3" t="s">
        <v>67</v>
      </c>
      <c r="F40" s="3" t="s">
        <v>0</v>
      </c>
      <c r="G40" s="3">
        <v>1</v>
      </c>
      <c r="H40" s="8" t="s">
        <v>66</v>
      </c>
      <c r="I40" s="8" t="s">
        <v>65</v>
      </c>
      <c r="J40" s="9"/>
      <c r="K40" s="9"/>
      <c r="L40" s="9"/>
      <c r="M40" s="9"/>
      <c r="N40" s="2"/>
      <c r="O40" s="2"/>
      <c r="P40" s="2"/>
      <c r="Q40" s="2"/>
      <c r="R40" s="2"/>
      <c r="S40" s="2"/>
      <c r="T40" s="2"/>
      <c r="U40" s="2"/>
      <c r="V40" s="2"/>
      <c r="W40" s="2"/>
      <c r="X40" s="2"/>
      <c r="Y40" s="2"/>
      <c r="Z40" s="2"/>
    </row>
    <row r="41" spans="1:26" s="4" customFormat="1" ht="25.5" customHeight="1" x14ac:dyDescent="0.2">
      <c r="A41" s="9"/>
      <c r="B41" s="3"/>
      <c r="C41" s="3"/>
      <c r="D41" s="3"/>
      <c r="E41" s="3"/>
      <c r="F41" s="5"/>
      <c r="G41" s="3"/>
      <c r="H41" s="8"/>
      <c r="I41" s="8"/>
      <c r="J41" s="9"/>
      <c r="K41" s="9"/>
      <c r="L41" s="9"/>
      <c r="M41" s="9"/>
      <c r="N41" s="2"/>
      <c r="O41" s="2"/>
      <c r="P41" s="2"/>
      <c r="Q41" s="2"/>
      <c r="R41" s="2"/>
      <c r="S41" s="2"/>
      <c r="T41" s="2"/>
      <c r="U41" s="2"/>
      <c r="V41" s="2"/>
      <c r="W41" s="2"/>
      <c r="X41" s="2"/>
      <c r="Y41" s="2"/>
      <c r="Z41" s="2"/>
    </row>
    <row r="42" spans="1:26" s="4" customFormat="1" ht="25.5" customHeight="1" x14ac:dyDescent="0.2">
      <c r="A42" s="9"/>
      <c r="B42" s="3" t="s">
        <v>19</v>
      </c>
      <c r="C42" s="3" t="s">
        <v>21</v>
      </c>
      <c r="D42" s="3" t="s">
        <v>20</v>
      </c>
      <c r="E42" s="3" t="s">
        <v>26</v>
      </c>
      <c r="F42" s="5" t="s">
        <v>243</v>
      </c>
      <c r="G42" s="3">
        <v>1</v>
      </c>
      <c r="H42" s="8">
        <v>9</v>
      </c>
      <c r="I42" s="8">
        <f t="shared" si="1"/>
        <v>9</v>
      </c>
      <c r="J42" s="9"/>
      <c r="K42" s="9"/>
      <c r="L42" s="9"/>
      <c r="M42" s="9"/>
      <c r="N42" s="2"/>
      <c r="O42" s="2"/>
      <c r="P42" s="2"/>
      <c r="Q42" s="2"/>
      <c r="R42" s="2"/>
      <c r="S42" s="2"/>
      <c r="T42" s="2"/>
      <c r="U42" s="2"/>
      <c r="V42" s="2"/>
      <c r="W42" s="2"/>
      <c r="X42" s="2"/>
      <c r="Y42" s="2"/>
      <c r="Z42" s="2"/>
    </row>
    <row r="43" spans="1:26" s="4" customFormat="1" ht="25.5" customHeight="1" x14ac:dyDescent="0.2">
      <c r="A43" s="9"/>
      <c r="B43" s="3" t="s">
        <v>19</v>
      </c>
      <c r="C43" s="3" t="s">
        <v>119</v>
      </c>
      <c r="D43" s="3" t="s">
        <v>120</v>
      </c>
      <c r="E43" s="3" t="s">
        <v>121</v>
      </c>
      <c r="F43" s="3" t="s">
        <v>0</v>
      </c>
      <c r="G43" s="3">
        <v>1</v>
      </c>
      <c r="H43" s="8">
        <v>0.1</v>
      </c>
      <c r="I43" s="8">
        <f t="shared" ref="I43" si="11">H43*G43</f>
        <v>0.1</v>
      </c>
      <c r="J43" s="9"/>
      <c r="K43" s="9"/>
      <c r="L43" s="9"/>
      <c r="M43" s="9"/>
      <c r="N43" s="2"/>
      <c r="O43" s="2"/>
      <c r="P43" s="2"/>
      <c r="Q43" s="2"/>
      <c r="R43" s="2"/>
      <c r="S43" s="2"/>
      <c r="T43" s="2"/>
      <c r="U43" s="2"/>
      <c r="V43" s="2"/>
      <c r="W43" s="2"/>
      <c r="X43" s="2"/>
      <c r="Y43" s="2"/>
      <c r="Z43" s="2"/>
    </row>
    <row r="44" spans="1:26" s="4" customFormat="1" ht="25.5" customHeight="1" x14ac:dyDescent="0.2">
      <c r="A44" s="9"/>
      <c r="B44" s="3" t="s">
        <v>19</v>
      </c>
      <c r="C44" s="3" t="s">
        <v>89</v>
      </c>
      <c r="D44" s="3" t="s">
        <v>90</v>
      </c>
      <c r="E44" s="3" t="s">
        <v>28</v>
      </c>
      <c r="F44" s="5" t="s">
        <v>27</v>
      </c>
      <c r="G44" s="3">
        <v>1</v>
      </c>
      <c r="H44" s="8">
        <v>8</v>
      </c>
      <c r="I44" s="8">
        <f t="shared" si="1"/>
        <v>8</v>
      </c>
      <c r="J44" s="9"/>
      <c r="K44" s="9"/>
      <c r="L44" s="9"/>
      <c r="M44" s="9"/>
      <c r="N44" s="2"/>
      <c r="O44" s="2"/>
      <c r="P44" s="2"/>
      <c r="Q44" s="2"/>
      <c r="R44" s="2"/>
      <c r="S44" s="2"/>
      <c r="T44" s="2"/>
      <c r="U44" s="2"/>
      <c r="V44" s="2"/>
      <c r="W44" s="2"/>
      <c r="X44" s="2"/>
      <c r="Y44" s="2"/>
      <c r="Z44" s="2"/>
    </row>
    <row r="45" spans="1:26" s="4" customFormat="1" ht="25.5" customHeight="1" x14ac:dyDescent="0.2">
      <c r="A45" s="9"/>
      <c r="B45" s="3" t="s">
        <v>19</v>
      </c>
      <c r="C45" s="3" t="s">
        <v>127</v>
      </c>
      <c r="D45" s="3" t="s">
        <v>128</v>
      </c>
      <c r="E45" s="3" t="s">
        <v>26</v>
      </c>
      <c r="F45" s="5" t="s">
        <v>242</v>
      </c>
      <c r="G45" s="3">
        <v>1</v>
      </c>
      <c r="H45" s="8">
        <v>0.5</v>
      </c>
      <c r="I45" s="8">
        <f t="shared" si="1"/>
        <v>0.5</v>
      </c>
      <c r="J45" s="9"/>
      <c r="K45" s="9"/>
      <c r="L45" s="9"/>
      <c r="M45" s="9"/>
      <c r="N45" s="2"/>
      <c r="O45" s="2"/>
      <c r="P45" s="2"/>
      <c r="Q45" s="2"/>
      <c r="R45" s="2"/>
      <c r="S45" s="2"/>
      <c r="T45" s="2"/>
      <c r="U45" s="2"/>
      <c r="V45" s="2"/>
      <c r="W45" s="2"/>
      <c r="X45" s="2"/>
      <c r="Y45" s="2"/>
      <c r="Z45" s="2"/>
    </row>
    <row r="46" spans="1:26" s="4" customFormat="1" ht="25.5" customHeight="1" x14ac:dyDescent="0.2">
      <c r="A46" s="9"/>
      <c r="B46" s="3" t="s">
        <v>19</v>
      </c>
      <c r="C46" s="3" t="s">
        <v>122</v>
      </c>
      <c r="D46" s="3" t="s">
        <v>124</v>
      </c>
      <c r="E46" s="3" t="s">
        <v>126</v>
      </c>
      <c r="F46" s="5" t="s">
        <v>125</v>
      </c>
      <c r="G46" s="3">
        <v>1</v>
      </c>
      <c r="H46" s="8">
        <v>130</v>
      </c>
      <c r="I46" s="8">
        <f t="shared" si="1"/>
        <v>130</v>
      </c>
      <c r="J46" s="9"/>
      <c r="K46" s="9"/>
      <c r="L46" s="9"/>
      <c r="M46" s="9"/>
      <c r="N46" s="2"/>
      <c r="O46" s="2"/>
      <c r="P46" s="2"/>
      <c r="Q46" s="2"/>
      <c r="R46" s="2"/>
      <c r="S46" s="2"/>
      <c r="T46" s="2"/>
      <c r="U46" s="2"/>
      <c r="V46" s="2"/>
      <c r="W46" s="2"/>
      <c r="X46" s="2"/>
      <c r="Y46" s="2"/>
      <c r="Z46" s="2"/>
    </row>
    <row r="47" spans="1:26" ht="25.5" customHeight="1" x14ac:dyDescent="0.2">
      <c r="B47" s="3" t="s">
        <v>19</v>
      </c>
      <c r="C47" s="3" t="s">
        <v>96</v>
      </c>
      <c r="D47" s="3" t="s">
        <v>95</v>
      </c>
      <c r="E47" s="3" t="s">
        <v>26</v>
      </c>
      <c r="F47" s="5" t="s">
        <v>244</v>
      </c>
      <c r="G47" s="3">
        <v>1</v>
      </c>
      <c r="H47" s="8">
        <v>11</v>
      </c>
      <c r="I47" s="8">
        <f t="shared" si="1"/>
        <v>11</v>
      </c>
    </row>
    <row r="48" spans="1:26" ht="25.5" customHeight="1" x14ac:dyDescent="0.2">
      <c r="B48" s="3" t="s">
        <v>19</v>
      </c>
      <c r="C48" s="3" t="s">
        <v>91</v>
      </c>
      <c r="D48" s="3" t="s">
        <v>94</v>
      </c>
      <c r="E48" s="3" t="s">
        <v>26</v>
      </c>
      <c r="F48" s="5" t="s">
        <v>245</v>
      </c>
      <c r="G48" s="3">
        <v>1</v>
      </c>
      <c r="H48" s="8">
        <v>7</v>
      </c>
      <c r="I48" s="8">
        <f t="shared" si="1"/>
        <v>7</v>
      </c>
    </row>
    <row r="49" spans="2:9" ht="25.5" customHeight="1" x14ac:dyDescent="0.2">
      <c r="B49" s="3" t="s">
        <v>19</v>
      </c>
      <c r="C49" s="3" t="s">
        <v>92</v>
      </c>
      <c r="D49" s="3" t="s">
        <v>93</v>
      </c>
      <c r="E49" s="3" t="s">
        <v>26</v>
      </c>
      <c r="F49" s="5" t="s">
        <v>246</v>
      </c>
      <c r="G49" s="3">
        <v>1</v>
      </c>
      <c r="H49" s="8">
        <v>13</v>
      </c>
      <c r="I49" s="8">
        <f t="shared" si="1"/>
        <v>13</v>
      </c>
    </row>
    <row r="50" spans="2:9" ht="25.5" customHeight="1" x14ac:dyDescent="0.2">
      <c r="B50" s="3" t="s">
        <v>19</v>
      </c>
      <c r="C50" s="3" t="s">
        <v>97</v>
      </c>
      <c r="D50" s="3" t="s">
        <v>123</v>
      </c>
      <c r="E50" s="3" t="s">
        <v>26</v>
      </c>
      <c r="F50" s="5" t="s">
        <v>247</v>
      </c>
      <c r="G50" s="3">
        <v>1</v>
      </c>
      <c r="H50" s="8">
        <v>11</v>
      </c>
      <c r="I50" s="8">
        <f t="shared" si="1"/>
        <v>11</v>
      </c>
    </row>
    <row r="51" spans="2:9" ht="25.5" customHeight="1" x14ac:dyDescent="0.2">
      <c r="B51" s="3" t="s">
        <v>19</v>
      </c>
      <c r="C51" s="3" t="s">
        <v>97</v>
      </c>
      <c r="D51" s="3" t="s">
        <v>98</v>
      </c>
      <c r="E51" s="3" t="s">
        <v>26</v>
      </c>
      <c r="F51" s="5" t="s">
        <v>248</v>
      </c>
      <c r="G51" s="3">
        <v>1</v>
      </c>
      <c r="H51" s="8">
        <v>6</v>
      </c>
      <c r="I51" s="8">
        <f t="shared" si="1"/>
        <v>6</v>
      </c>
    </row>
    <row r="52" spans="2:9" ht="25.5" customHeight="1" x14ac:dyDescent="0.2">
      <c r="B52" s="3" t="s">
        <v>19</v>
      </c>
      <c r="C52" s="3" t="s">
        <v>115</v>
      </c>
      <c r="D52" s="3" t="s">
        <v>109</v>
      </c>
      <c r="E52" s="3" t="s">
        <v>30</v>
      </c>
      <c r="F52" s="3" t="s">
        <v>0</v>
      </c>
      <c r="G52" s="3">
        <v>1</v>
      </c>
      <c r="H52" s="8">
        <v>5</v>
      </c>
      <c r="I52" s="8">
        <f t="shared" si="1"/>
        <v>5</v>
      </c>
    </row>
    <row r="53" spans="2:9" ht="25.5" customHeight="1" x14ac:dyDescent="0.2">
      <c r="B53" s="3" t="s">
        <v>19</v>
      </c>
      <c r="C53" s="3" t="s">
        <v>88</v>
      </c>
      <c r="D53" s="3" t="s">
        <v>118</v>
      </c>
      <c r="E53" s="3" t="s">
        <v>26</v>
      </c>
      <c r="F53" s="5" t="s">
        <v>249</v>
      </c>
      <c r="G53" s="3">
        <v>1</v>
      </c>
      <c r="H53" s="8">
        <v>7.0000000000000007E-2</v>
      </c>
      <c r="I53" s="8">
        <f t="shared" si="1"/>
        <v>7.0000000000000007E-2</v>
      </c>
    </row>
    <row r="54" spans="2:9" ht="25.5" customHeight="1" x14ac:dyDescent="0.2">
      <c r="B54" s="3" t="s">
        <v>19</v>
      </c>
      <c r="C54" s="3" t="s">
        <v>84</v>
      </c>
      <c r="D54" s="3" t="s">
        <v>80</v>
      </c>
      <c r="E54" s="3" t="s">
        <v>67</v>
      </c>
      <c r="F54" s="3" t="s">
        <v>0</v>
      </c>
      <c r="G54" s="3">
        <v>1</v>
      </c>
      <c r="H54" s="8" t="s">
        <v>66</v>
      </c>
      <c r="I54" s="8" t="s">
        <v>65</v>
      </c>
    </row>
    <row r="55" spans="2:9" ht="25.5" customHeight="1" x14ac:dyDescent="0.2">
      <c r="B55" s="3" t="s">
        <v>19</v>
      </c>
      <c r="C55" s="3" t="s">
        <v>85</v>
      </c>
      <c r="D55" s="3" t="s">
        <v>80</v>
      </c>
      <c r="E55" s="3" t="s">
        <v>67</v>
      </c>
      <c r="F55" s="3" t="s">
        <v>0</v>
      </c>
      <c r="G55" s="3">
        <v>1</v>
      </c>
      <c r="H55" s="8" t="s">
        <v>66</v>
      </c>
      <c r="I55" s="8" t="s">
        <v>65</v>
      </c>
    </row>
    <row r="56" spans="2:9" ht="25.5" customHeight="1" x14ac:dyDescent="0.2">
      <c r="B56" s="3" t="s">
        <v>19</v>
      </c>
      <c r="C56" s="3" t="s">
        <v>83</v>
      </c>
      <c r="D56" s="3" t="s">
        <v>80</v>
      </c>
      <c r="E56" s="3" t="s">
        <v>67</v>
      </c>
      <c r="F56" s="3" t="s">
        <v>0</v>
      </c>
      <c r="G56" s="3">
        <v>1</v>
      </c>
      <c r="H56" s="8" t="s">
        <v>66</v>
      </c>
      <c r="I56" s="8" t="s">
        <v>65</v>
      </c>
    </row>
    <row r="57" spans="2:9" ht="25.5" customHeight="1" x14ac:dyDescent="0.2">
      <c r="B57" s="3" t="s">
        <v>19</v>
      </c>
      <c r="C57" s="3" t="s">
        <v>86</v>
      </c>
      <c r="D57" s="3" t="s">
        <v>87</v>
      </c>
      <c r="E57" s="3" t="s">
        <v>67</v>
      </c>
      <c r="F57" s="3" t="s">
        <v>0</v>
      </c>
      <c r="G57" s="3">
        <v>1</v>
      </c>
      <c r="H57" s="8" t="s">
        <v>66</v>
      </c>
      <c r="I57" s="8" t="s">
        <v>65</v>
      </c>
    </row>
    <row r="58" spans="2:9" ht="25.5" customHeight="1" x14ac:dyDescent="0.2">
      <c r="B58" s="3" t="s">
        <v>19</v>
      </c>
      <c r="C58" s="3" t="s">
        <v>82</v>
      </c>
      <c r="D58" s="3" t="s">
        <v>133</v>
      </c>
      <c r="E58" s="3" t="s">
        <v>67</v>
      </c>
      <c r="F58" s="3" t="s">
        <v>0</v>
      </c>
      <c r="G58" s="3">
        <v>2</v>
      </c>
      <c r="H58" s="8" t="s">
        <v>66</v>
      </c>
      <c r="I58" s="8" t="s">
        <v>65</v>
      </c>
    </row>
    <row r="59" spans="2:9" ht="25.5" customHeight="1" x14ac:dyDescent="0.2">
      <c r="B59" s="3" t="s">
        <v>19</v>
      </c>
      <c r="C59" s="3" t="s">
        <v>81</v>
      </c>
      <c r="D59" s="3" t="s">
        <v>80</v>
      </c>
      <c r="E59" s="3" t="s">
        <v>67</v>
      </c>
      <c r="F59" s="3" t="s">
        <v>0</v>
      </c>
      <c r="G59" s="3">
        <v>1</v>
      </c>
      <c r="H59" s="8" t="s">
        <v>66</v>
      </c>
      <c r="I59" s="8" t="s">
        <v>65</v>
      </c>
    </row>
    <row r="60" spans="2:9" ht="25.5" customHeight="1" x14ac:dyDescent="0.2">
      <c r="B60" s="3" t="s">
        <v>19</v>
      </c>
      <c r="C60" s="3" t="s">
        <v>114</v>
      </c>
      <c r="D60" s="3" t="s">
        <v>116</v>
      </c>
      <c r="E60" s="3" t="s">
        <v>117</v>
      </c>
      <c r="F60" s="5" t="s">
        <v>250</v>
      </c>
      <c r="G60" s="3">
        <v>1</v>
      </c>
      <c r="H60" s="8">
        <v>10</v>
      </c>
      <c r="I60" s="8">
        <f t="shared" si="1"/>
        <v>10</v>
      </c>
    </row>
    <row r="61" spans="2:9" ht="25.5" customHeight="1" x14ac:dyDescent="0.2">
      <c r="B61" s="3"/>
      <c r="C61" s="3"/>
      <c r="D61" s="3"/>
      <c r="E61" s="3"/>
      <c r="F61" s="5"/>
      <c r="G61" s="3"/>
      <c r="H61" s="8"/>
      <c r="I61" s="8"/>
    </row>
    <row r="62" spans="2:9" ht="25.5" customHeight="1" x14ac:dyDescent="0.2">
      <c r="B62" s="3" t="s">
        <v>18</v>
      </c>
      <c r="C62" s="3" t="s">
        <v>100</v>
      </c>
      <c r="D62" s="3" t="s">
        <v>101</v>
      </c>
      <c r="E62" s="3" t="s">
        <v>30</v>
      </c>
      <c r="F62" s="5" t="s">
        <v>99</v>
      </c>
      <c r="G62" s="3">
        <v>2</v>
      </c>
      <c r="H62" s="8">
        <f>3.4/12*7</f>
        <v>1.9833333333333334</v>
      </c>
      <c r="I62" s="8">
        <f t="shared" ref="I62" si="12">H62*G62</f>
        <v>3.9666666666666668</v>
      </c>
    </row>
    <row r="63" spans="2:9" ht="25.5" customHeight="1" x14ac:dyDescent="0.2">
      <c r="B63" s="3" t="s">
        <v>18</v>
      </c>
      <c r="C63" s="3" t="s">
        <v>102</v>
      </c>
      <c r="D63" s="3" t="s">
        <v>104</v>
      </c>
      <c r="E63" s="3" t="s">
        <v>30</v>
      </c>
      <c r="F63" s="5" t="s">
        <v>103</v>
      </c>
      <c r="G63" s="3">
        <v>2</v>
      </c>
      <c r="H63" s="8">
        <v>1.5</v>
      </c>
      <c r="I63" s="8">
        <f t="shared" ref="I63:I64" si="13">H63*G63</f>
        <v>3</v>
      </c>
    </row>
    <row r="64" spans="2:9" ht="25.5" customHeight="1" x14ac:dyDescent="0.2">
      <c r="B64" s="3" t="s">
        <v>18</v>
      </c>
      <c r="C64" s="3" t="s">
        <v>29</v>
      </c>
      <c r="D64" s="3" t="s">
        <v>110</v>
      </c>
      <c r="E64" s="3" t="s">
        <v>30</v>
      </c>
      <c r="F64" s="5" t="s">
        <v>31</v>
      </c>
      <c r="G64" s="3">
        <v>4</v>
      </c>
      <c r="H64" s="8">
        <f>7.77/5</f>
        <v>1.5539999999999998</v>
      </c>
      <c r="I64" s="8">
        <f t="shared" si="13"/>
        <v>6.2159999999999993</v>
      </c>
    </row>
    <row r="65" spans="1:26" ht="25.5" customHeight="1" x14ac:dyDescent="0.2">
      <c r="B65" s="3" t="s">
        <v>18</v>
      </c>
      <c r="C65" s="3" t="s">
        <v>107</v>
      </c>
      <c r="D65" s="3" t="s">
        <v>106</v>
      </c>
      <c r="E65" s="3" t="s">
        <v>30</v>
      </c>
      <c r="F65" s="5" t="s">
        <v>105</v>
      </c>
      <c r="G65" s="3">
        <v>4</v>
      </c>
      <c r="H65" s="8">
        <v>1</v>
      </c>
      <c r="I65" s="8">
        <f t="shared" si="1"/>
        <v>4</v>
      </c>
    </row>
    <row r="66" spans="1:26" ht="25.5" customHeight="1" x14ac:dyDescent="0.2">
      <c r="B66" s="3" t="s">
        <v>18</v>
      </c>
      <c r="C66" s="3" t="s">
        <v>108</v>
      </c>
      <c r="D66" s="3" t="s">
        <v>109</v>
      </c>
      <c r="E66" s="3" t="s">
        <v>30</v>
      </c>
      <c r="F66" s="3" t="s">
        <v>0</v>
      </c>
      <c r="G66" s="3">
        <v>4</v>
      </c>
      <c r="H66" s="8">
        <v>0.01</v>
      </c>
      <c r="I66" s="8">
        <f t="shared" si="1"/>
        <v>0.04</v>
      </c>
    </row>
    <row r="67" spans="1:26" ht="25.5" customHeight="1" x14ac:dyDescent="0.2">
      <c r="B67" s="3" t="s">
        <v>18</v>
      </c>
      <c r="C67" s="3" t="s">
        <v>111</v>
      </c>
      <c r="D67" s="14" t="s">
        <v>112</v>
      </c>
      <c r="E67" s="3" t="s">
        <v>30</v>
      </c>
      <c r="F67" s="3" t="s">
        <v>0</v>
      </c>
      <c r="G67" s="3">
        <v>4</v>
      </c>
      <c r="H67" s="8">
        <v>0.11</v>
      </c>
      <c r="I67" s="8">
        <f t="shared" ref="I67" si="14">H67*G67</f>
        <v>0.44</v>
      </c>
    </row>
    <row r="68" spans="1:26" ht="25.5" customHeight="1" x14ac:dyDescent="0.2">
      <c r="B68" s="3" t="s">
        <v>18</v>
      </c>
      <c r="C68" s="3" t="s">
        <v>74</v>
      </c>
      <c r="D68" s="3" t="s">
        <v>113</v>
      </c>
      <c r="E68" s="3" t="s">
        <v>30</v>
      </c>
      <c r="F68" s="3" t="s">
        <v>0</v>
      </c>
      <c r="G68" s="3">
        <v>4</v>
      </c>
      <c r="H68" s="8">
        <v>0.05</v>
      </c>
      <c r="I68" s="8">
        <f t="shared" ref="I68" si="15">H68*G68</f>
        <v>0.2</v>
      </c>
    </row>
    <row r="69" spans="1:26" ht="25.5" customHeight="1" x14ac:dyDescent="0.2">
      <c r="B69" s="3" t="s">
        <v>18</v>
      </c>
      <c r="C69" s="3" t="s">
        <v>131</v>
      </c>
      <c r="D69" s="3" t="s">
        <v>133</v>
      </c>
      <c r="E69" s="3" t="s">
        <v>67</v>
      </c>
      <c r="F69" s="3" t="s">
        <v>0</v>
      </c>
      <c r="G69" s="3">
        <v>1</v>
      </c>
      <c r="H69" s="8" t="s">
        <v>66</v>
      </c>
      <c r="I69" s="8" t="s">
        <v>65</v>
      </c>
    </row>
    <row r="70" spans="1:26" ht="25.5" customHeight="1" x14ac:dyDescent="0.2">
      <c r="B70" s="3" t="s">
        <v>18</v>
      </c>
      <c r="C70" s="3" t="s">
        <v>132</v>
      </c>
      <c r="D70" s="3" t="s">
        <v>133</v>
      </c>
      <c r="E70" s="3" t="s">
        <v>67</v>
      </c>
      <c r="F70" s="3" t="s">
        <v>0</v>
      </c>
      <c r="G70" s="3">
        <v>1</v>
      </c>
      <c r="H70" s="8" t="s">
        <v>66</v>
      </c>
      <c r="I70" s="8" t="s">
        <v>65</v>
      </c>
    </row>
    <row r="71" spans="1:26" ht="25.5" customHeight="1" x14ac:dyDescent="0.2">
      <c r="B71" s="3" t="s">
        <v>18</v>
      </c>
      <c r="C71" s="3" t="s">
        <v>135</v>
      </c>
      <c r="D71" s="3" t="s">
        <v>136</v>
      </c>
      <c r="E71" s="3" t="s">
        <v>67</v>
      </c>
      <c r="F71" s="3" t="s">
        <v>0</v>
      </c>
      <c r="G71" s="3">
        <v>1</v>
      </c>
      <c r="H71" s="8" t="s">
        <v>66</v>
      </c>
      <c r="I71" s="8" t="s">
        <v>65</v>
      </c>
    </row>
    <row r="72" spans="1:26" ht="25.5" customHeight="1" x14ac:dyDescent="0.2">
      <c r="B72" s="3" t="s">
        <v>18</v>
      </c>
      <c r="C72" s="3" t="s">
        <v>134</v>
      </c>
      <c r="D72" s="3" t="s">
        <v>136</v>
      </c>
      <c r="E72" s="3" t="s">
        <v>67</v>
      </c>
      <c r="F72" s="3" t="s">
        <v>0</v>
      </c>
      <c r="G72" s="3">
        <v>1</v>
      </c>
      <c r="H72" s="8" t="s">
        <v>66</v>
      </c>
      <c r="I72" s="8" t="s">
        <v>65</v>
      </c>
    </row>
    <row r="73" spans="1:26" ht="25.5" customHeight="1" x14ac:dyDescent="0.2">
      <c r="B73" s="3" t="s">
        <v>18</v>
      </c>
      <c r="C73" s="3" t="s">
        <v>138</v>
      </c>
      <c r="D73" s="3" t="s">
        <v>139</v>
      </c>
      <c r="E73" s="3" t="s">
        <v>67</v>
      </c>
      <c r="F73" s="3" t="s">
        <v>0</v>
      </c>
      <c r="G73" s="3">
        <v>1</v>
      </c>
      <c r="H73" s="8" t="s">
        <v>66</v>
      </c>
      <c r="I73" s="8" t="s">
        <v>65</v>
      </c>
    </row>
    <row r="74" spans="1:26" s="4" customFormat="1" ht="25.5" customHeight="1" x14ac:dyDescent="0.2">
      <c r="A74" s="9"/>
      <c r="B74" s="3" t="s">
        <v>18</v>
      </c>
      <c r="C74" s="3" t="s">
        <v>137</v>
      </c>
      <c r="D74" s="3" t="s">
        <v>133</v>
      </c>
      <c r="E74" s="3" t="s">
        <v>67</v>
      </c>
      <c r="F74" s="3" t="s">
        <v>0</v>
      </c>
      <c r="G74" s="3">
        <v>1</v>
      </c>
      <c r="H74" s="8" t="s">
        <v>66</v>
      </c>
      <c r="I74" s="8" t="s">
        <v>65</v>
      </c>
      <c r="J74" s="9"/>
      <c r="K74" s="9"/>
      <c r="L74" s="9"/>
      <c r="M74" s="9"/>
      <c r="N74" s="2"/>
      <c r="O74" s="2"/>
      <c r="P74" s="2"/>
      <c r="Q74" s="2"/>
      <c r="R74" s="2"/>
      <c r="S74" s="2"/>
      <c r="T74" s="2"/>
      <c r="U74" s="2"/>
      <c r="V74" s="2"/>
      <c r="W74" s="2"/>
      <c r="X74" s="2"/>
      <c r="Y74" s="2"/>
      <c r="Z74" s="2"/>
    </row>
    <row r="75" spans="1:26" s="9" customFormat="1" x14ac:dyDescent="0.2">
      <c r="B75" s="10"/>
    </row>
    <row r="76" spans="1:26" s="4" customFormat="1" ht="35.25" customHeight="1" x14ac:dyDescent="0.2">
      <c r="A76" s="9"/>
      <c r="B76" s="10"/>
      <c r="C76" s="9"/>
      <c r="D76" s="9"/>
      <c r="E76" s="9"/>
      <c r="F76" s="9"/>
      <c r="G76" s="9"/>
      <c r="H76" s="9"/>
      <c r="I76" s="9"/>
      <c r="J76" s="10"/>
      <c r="K76" s="9"/>
      <c r="L76" s="9"/>
      <c r="M76" s="9"/>
      <c r="N76" s="2"/>
      <c r="O76" s="2"/>
      <c r="P76" s="2"/>
      <c r="Q76" s="2"/>
      <c r="R76" s="2"/>
      <c r="S76" s="2"/>
      <c r="T76" s="2"/>
      <c r="U76" s="2"/>
      <c r="V76" s="2"/>
      <c r="W76" s="2"/>
      <c r="X76" s="2"/>
      <c r="Y76" s="2"/>
      <c r="Z76" s="2"/>
    </row>
    <row r="77" spans="1:26" s="4" customFormat="1" x14ac:dyDescent="0.25">
      <c r="A77" s="9"/>
      <c r="B77" s="10"/>
      <c r="C77" s="9"/>
      <c r="D77" s="9"/>
      <c r="E77" s="9"/>
      <c r="F77" s="9"/>
      <c r="G77" s="9"/>
      <c r="H77" s="9"/>
      <c r="I77" s="9"/>
      <c r="J77" s="11"/>
      <c r="K77" s="9"/>
      <c r="L77" s="9"/>
      <c r="M77" s="9"/>
      <c r="N77" s="2"/>
      <c r="O77" s="2"/>
      <c r="P77" s="2"/>
      <c r="Q77" s="2"/>
      <c r="R77" s="2"/>
      <c r="S77" s="2"/>
      <c r="T77" s="2"/>
      <c r="U77" s="2"/>
      <c r="V77" s="2"/>
      <c r="W77" s="2"/>
      <c r="X77" s="2"/>
      <c r="Y77" s="2"/>
      <c r="Z77" s="2"/>
    </row>
    <row r="78" spans="1:26" s="4" customFormat="1" x14ac:dyDescent="0.2">
      <c r="A78" s="9"/>
      <c r="B78" s="10"/>
      <c r="C78" s="9"/>
      <c r="D78" s="9"/>
      <c r="E78" s="9"/>
      <c r="F78" s="9"/>
      <c r="G78" s="9"/>
      <c r="H78" s="9"/>
      <c r="I78" s="9"/>
      <c r="J78" s="9"/>
      <c r="K78" s="9"/>
      <c r="L78" s="9"/>
      <c r="M78" s="9"/>
      <c r="N78" s="2"/>
      <c r="O78" s="2"/>
      <c r="P78" s="2"/>
      <c r="Q78" s="2"/>
      <c r="R78" s="2"/>
      <c r="S78" s="2"/>
      <c r="T78" s="2"/>
      <c r="U78" s="2"/>
      <c r="V78" s="2"/>
      <c r="W78" s="2"/>
      <c r="X78" s="2"/>
      <c r="Y78" s="2"/>
      <c r="Z78" s="2"/>
    </row>
    <row r="79" spans="1:26" s="9" customFormat="1" x14ac:dyDescent="0.2">
      <c r="B79" s="10"/>
    </row>
    <row r="80" spans="1:26" s="9" customFormat="1" ht="19.5" customHeight="1" x14ac:dyDescent="0.2">
      <c r="B80" s="10"/>
    </row>
    <row r="81" spans="2:17" s="9" customFormat="1" x14ac:dyDescent="0.2">
      <c r="B81" s="10"/>
      <c r="G81" s="12"/>
    </row>
    <row r="82" spans="2:17" s="9" customFormat="1" ht="20.25" customHeight="1" x14ac:dyDescent="0.2">
      <c r="B82" s="10"/>
      <c r="L82" s="10"/>
    </row>
    <row r="83" spans="2:17" s="9" customFormat="1" x14ac:dyDescent="0.2">
      <c r="B83" s="10"/>
      <c r="L83" s="10"/>
    </row>
    <row r="84" spans="2:17" s="9" customFormat="1" x14ac:dyDescent="0.2">
      <c r="B84" s="10"/>
      <c r="L84" s="10"/>
    </row>
    <row r="85" spans="2:17" s="9" customFormat="1" x14ac:dyDescent="0.2">
      <c r="B85" s="10"/>
      <c r="L85" s="10"/>
    </row>
    <row r="86" spans="2:17" s="9" customFormat="1" ht="21" customHeight="1" x14ac:dyDescent="0.2">
      <c r="B86" s="10"/>
      <c r="L86" s="10"/>
      <c r="M86" s="9" t="s">
        <v>4</v>
      </c>
      <c r="P86" s="9" t="s">
        <v>5</v>
      </c>
      <c r="Q86" s="9" t="s">
        <v>6</v>
      </c>
    </row>
    <row r="87" spans="2:17" s="9" customFormat="1" ht="28.5" x14ac:dyDescent="0.2">
      <c r="B87" s="10"/>
      <c r="L87" s="10"/>
      <c r="M87" s="9" t="s">
        <v>7</v>
      </c>
    </row>
    <row r="88" spans="2:17" s="9" customFormat="1" x14ac:dyDescent="0.2">
      <c r="B88" s="10"/>
      <c r="L88" s="10"/>
    </row>
    <row r="89" spans="2:17" s="9" customFormat="1" x14ac:dyDescent="0.2">
      <c r="B89" s="10"/>
    </row>
    <row r="90" spans="2:17" s="9" customFormat="1" x14ac:dyDescent="0.2">
      <c r="B90" s="10"/>
      <c r="F90" s="10"/>
    </row>
    <row r="91" spans="2:17" s="9" customFormat="1" x14ac:dyDescent="0.2">
      <c r="B91" s="10"/>
      <c r="F91" s="10"/>
    </row>
    <row r="92" spans="2:17" s="9" customFormat="1" x14ac:dyDescent="0.2">
      <c r="B92" s="10"/>
      <c r="F92" s="10"/>
    </row>
    <row r="93" spans="2:17" s="9" customFormat="1" x14ac:dyDescent="0.2">
      <c r="B93" s="10"/>
      <c r="F93" s="10"/>
    </row>
    <row r="94" spans="2:17" s="9" customFormat="1" x14ac:dyDescent="0.2">
      <c r="B94" s="10"/>
      <c r="E94" s="10"/>
      <c r="F94" s="10"/>
    </row>
    <row r="95" spans="2:17" s="9" customFormat="1" x14ac:dyDescent="0.2">
      <c r="B95" s="10"/>
      <c r="E95" s="10"/>
      <c r="F95" s="10"/>
    </row>
    <row r="96" spans="2:17" s="9" customFormat="1" x14ac:dyDescent="0.2">
      <c r="B96" s="10"/>
      <c r="E96" s="10"/>
      <c r="F96" s="10"/>
    </row>
    <row r="97" spans="2:6" s="9" customFormat="1" x14ac:dyDescent="0.2">
      <c r="B97" s="10"/>
      <c r="E97" s="10"/>
      <c r="F97" s="10"/>
    </row>
    <row r="98" spans="2:6" s="9" customFormat="1" x14ac:dyDescent="0.2">
      <c r="B98" s="10"/>
      <c r="E98" s="10"/>
      <c r="F98" s="10"/>
    </row>
    <row r="99" spans="2:6" s="9" customFormat="1" x14ac:dyDescent="0.2">
      <c r="B99" s="10"/>
      <c r="E99" s="10"/>
      <c r="F99" s="10"/>
    </row>
    <row r="100" spans="2:6" s="9" customFormat="1" x14ac:dyDescent="0.2">
      <c r="B100" s="10"/>
      <c r="E100" s="10"/>
      <c r="F100" s="10"/>
    </row>
    <row r="101" spans="2:6" s="9" customFormat="1" x14ac:dyDescent="0.2">
      <c r="B101" s="10"/>
      <c r="E101" s="10"/>
      <c r="F101" s="10"/>
    </row>
    <row r="102" spans="2:6" s="9" customFormat="1" x14ac:dyDescent="0.2">
      <c r="B102" s="10"/>
      <c r="E102" s="10"/>
      <c r="F102" s="10"/>
    </row>
    <row r="103" spans="2:6" s="9" customFormat="1" x14ac:dyDescent="0.2">
      <c r="B103" s="10"/>
      <c r="E103" s="10"/>
      <c r="F103" s="10"/>
    </row>
    <row r="104" spans="2:6" s="9" customFormat="1" x14ac:dyDescent="0.2">
      <c r="B104" s="10"/>
      <c r="E104" s="10"/>
      <c r="F104" s="10"/>
    </row>
    <row r="105" spans="2:6" s="9" customFormat="1" x14ac:dyDescent="0.2">
      <c r="B105" s="10"/>
      <c r="E105" s="10"/>
      <c r="F105" s="10"/>
    </row>
    <row r="106" spans="2:6" s="9" customFormat="1" x14ac:dyDescent="0.2">
      <c r="B106" s="10"/>
      <c r="E106" s="10"/>
      <c r="F106" s="10"/>
    </row>
    <row r="107" spans="2:6" s="9" customFormat="1" x14ac:dyDescent="0.2">
      <c r="B107" s="10"/>
      <c r="E107" s="10"/>
      <c r="F107" s="10"/>
    </row>
    <row r="108" spans="2:6" s="9" customFormat="1" x14ac:dyDescent="0.2">
      <c r="B108" s="10"/>
      <c r="E108" s="10"/>
      <c r="F108" s="10"/>
    </row>
    <row r="109" spans="2:6" s="9" customFormat="1" x14ac:dyDescent="0.2">
      <c r="B109" s="10"/>
      <c r="E109" s="10"/>
    </row>
    <row r="110" spans="2:6" s="9" customFormat="1" x14ac:dyDescent="0.2">
      <c r="B110" s="10"/>
      <c r="E110" s="10"/>
    </row>
    <row r="111" spans="2:6" s="9" customFormat="1" x14ac:dyDescent="0.2">
      <c r="B111" s="10"/>
      <c r="E111" s="10"/>
    </row>
    <row r="112" spans="2:6" s="9" customFormat="1" x14ac:dyDescent="0.2">
      <c r="B112" s="10"/>
      <c r="E112" s="10"/>
    </row>
    <row r="113" spans="2:2" s="9" customFormat="1" x14ac:dyDescent="0.2">
      <c r="B113" s="10"/>
    </row>
    <row r="114" spans="2:2" s="9" customFormat="1" x14ac:dyDescent="0.2">
      <c r="B114" s="10"/>
    </row>
    <row r="115" spans="2:2" s="9" customFormat="1" x14ac:dyDescent="0.2">
      <c r="B115" s="10"/>
    </row>
    <row r="116" spans="2:2" s="9" customFormat="1" x14ac:dyDescent="0.2">
      <c r="B116" s="10"/>
    </row>
    <row r="117" spans="2:2" s="9" customFormat="1" x14ac:dyDescent="0.2">
      <c r="B117" s="10"/>
    </row>
    <row r="118" spans="2:2" s="9" customFormat="1" x14ac:dyDescent="0.2">
      <c r="B118" s="10"/>
    </row>
    <row r="119" spans="2:2" s="9" customFormat="1" x14ac:dyDescent="0.2">
      <c r="B119" s="10"/>
    </row>
    <row r="120" spans="2:2" s="9" customFormat="1" x14ac:dyDescent="0.2">
      <c r="B120" s="10"/>
    </row>
    <row r="121" spans="2:2" s="9" customFormat="1" x14ac:dyDescent="0.2">
      <c r="B121" s="10"/>
    </row>
    <row r="122" spans="2:2" s="9" customFormat="1" x14ac:dyDescent="0.2">
      <c r="B122" s="10"/>
    </row>
    <row r="123" spans="2:2" s="9" customFormat="1" x14ac:dyDescent="0.2">
      <c r="B123" s="10"/>
    </row>
    <row r="124" spans="2:2" s="9" customFormat="1" x14ac:dyDescent="0.2">
      <c r="B124" s="10"/>
    </row>
    <row r="125" spans="2:2" s="9" customFormat="1" x14ac:dyDescent="0.2">
      <c r="B125" s="10"/>
    </row>
    <row r="126" spans="2:2" s="9" customFormat="1" x14ac:dyDescent="0.2">
      <c r="B126" s="10"/>
    </row>
    <row r="127" spans="2:2" s="9" customFormat="1" x14ac:dyDescent="0.2">
      <c r="B127" s="10"/>
    </row>
    <row r="128" spans="2:2" s="9" customFormat="1" x14ac:dyDescent="0.2">
      <c r="B128" s="10"/>
    </row>
    <row r="129" spans="2:2" s="9" customFormat="1" x14ac:dyDescent="0.2">
      <c r="B129" s="10"/>
    </row>
    <row r="130" spans="2:2" s="9" customFormat="1" x14ac:dyDescent="0.2">
      <c r="B130" s="10"/>
    </row>
    <row r="131" spans="2:2" s="9" customFormat="1" x14ac:dyDescent="0.2">
      <c r="B131" s="10"/>
    </row>
    <row r="132" spans="2:2" s="9" customFormat="1" ht="14.25" x14ac:dyDescent="0.2"/>
    <row r="133" spans="2:2" s="9" customFormat="1" ht="14.25" x14ac:dyDescent="0.2"/>
    <row r="134" spans="2:2" s="9" customFormat="1" x14ac:dyDescent="0.2">
      <c r="B134" s="10"/>
    </row>
    <row r="135" spans="2:2" s="9" customFormat="1" x14ac:dyDescent="0.2">
      <c r="B135" s="10"/>
    </row>
    <row r="136" spans="2:2" s="9" customFormat="1" x14ac:dyDescent="0.2">
      <c r="B136" s="10"/>
    </row>
    <row r="137" spans="2:2" s="9" customFormat="1" x14ac:dyDescent="0.2">
      <c r="B137" s="10"/>
    </row>
    <row r="138" spans="2:2" s="9" customFormat="1" x14ac:dyDescent="0.2">
      <c r="B138" s="10"/>
    </row>
    <row r="139" spans="2:2" s="9" customFormat="1" x14ac:dyDescent="0.2">
      <c r="B139" s="10"/>
    </row>
    <row r="140" spans="2:2" s="9" customFormat="1" x14ac:dyDescent="0.2">
      <c r="B140" s="10"/>
    </row>
    <row r="141" spans="2:2" s="9" customFormat="1" x14ac:dyDescent="0.2">
      <c r="B141" s="10"/>
    </row>
    <row r="142" spans="2:2" s="9" customFormat="1" x14ac:dyDescent="0.2">
      <c r="B142" s="10"/>
    </row>
    <row r="143" spans="2:2" s="9" customFormat="1" x14ac:dyDescent="0.2">
      <c r="B143" s="10"/>
    </row>
    <row r="144" spans="2:2" s="9" customFormat="1" x14ac:dyDescent="0.2">
      <c r="B144" s="10"/>
    </row>
    <row r="145" spans="2:2" s="9" customFormat="1" x14ac:dyDescent="0.2">
      <c r="B145" s="10"/>
    </row>
    <row r="146" spans="2:2" s="9" customFormat="1" x14ac:dyDescent="0.2">
      <c r="B146" s="10"/>
    </row>
    <row r="147" spans="2:2" s="9" customFormat="1" x14ac:dyDescent="0.2">
      <c r="B147" s="10"/>
    </row>
    <row r="148" spans="2:2" s="9" customFormat="1" x14ac:dyDescent="0.2">
      <c r="B148" s="10"/>
    </row>
    <row r="149" spans="2:2" s="9" customFormat="1" x14ac:dyDescent="0.2">
      <c r="B149" s="10"/>
    </row>
    <row r="150" spans="2:2" s="9" customFormat="1" x14ac:dyDescent="0.2">
      <c r="B150" s="10"/>
    </row>
    <row r="151" spans="2:2" s="9" customFormat="1" x14ac:dyDescent="0.2">
      <c r="B151" s="10"/>
    </row>
    <row r="152" spans="2:2" s="9" customFormat="1" x14ac:dyDescent="0.2">
      <c r="B152" s="10"/>
    </row>
    <row r="153" spans="2:2" s="9" customFormat="1" x14ac:dyDescent="0.2">
      <c r="B153" s="10"/>
    </row>
    <row r="154" spans="2:2" s="9" customFormat="1" x14ac:dyDescent="0.2">
      <c r="B154" s="10"/>
    </row>
    <row r="155" spans="2:2" s="9" customFormat="1" x14ac:dyDescent="0.2">
      <c r="B155" s="10"/>
    </row>
    <row r="156" spans="2:2" s="9" customFormat="1" x14ac:dyDescent="0.2">
      <c r="B156" s="10"/>
    </row>
    <row r="157" spans="2:2" s="9" customFormat="1" x14ac:dyDescent="0.2">
      <c r="B157" s="10"/>
    </row>
    <row r="158" spans="2:2" s="9" customFormat="1" x14ac:dyDescent="0.2">
      <c r="B158" s="10"/>
    </row>
    <row r="159" spans="2:2" s="9" customFormat="1" x14ac:dyDescent="0.2">
      <c r="B159" s="10"/>
    </row>
    <row r="160" spans="2:2" s="9" customFormat="1" x14ac:dyDescent="0.2">
      <c r="B160" s="10"/>
    </row>
    <row r="161" spans="2:2" s="9" customFormat="1" x14ac:dyDescent="0.2">
      <c r="B161" s="10"/>
    </row>
    <row r="162" spans="2:2" s="9" customFormat="1" x14ac:dyDescent="0.2">
      <c r="B162" s="10"/>
    </row>
    <row r="163" spans="2:2" s="9" customFormat="1" x14ac:dyDescent="0.2">
      <c r="B163" s="10"/>
    </row>
    <row r="164" spans="2:2" s="9" customFormat="1" x14ac:dyDescent="0.2">
      <c r="B164" s="10"/>
    </row>
    <row r="165" spans="2:2" s="9" customFormat="1" x14ac:dyDescent="0.2">
      <c r="B165" s="10"/>
    </row>
    <row r="166" spans="2:2" s="9" customFormat="1" x14ac:dyDescent="0.2">
      <c r="B166" s="10"/>
    </row>
    <row r="167" spans="2:2" s="9" customFormat="1" x14ac:dyDescent="0.2">
      <c r="B167" s="10"/>
    </row>
    <row r="168" spans="2:2" s="9" customFormat="1" x14ac:dyDescent="0.2">
      <c r="B168" s="10"/>
    </row>
    <row r="169" spans="2:2" s="9" customFormat="1" x14ac:dyDescent="0.2">
      <c r="B169" s="10"/>
    </row>
    <row r="170" spans="2:2" s="9" customFormat="1" x14ac:dyDescent="0.2">
      <c r="B170" s="10"/>
    </row>
    <row r="171" spans="2:2" s="9" customFormat="1" x14ac:dyDescent="0.2">
      <c r="B171" s="10"/>
    </row>
    <row r="172" spans="2:2" s="9" customFormat="1" x14ac:dyDescent="0.2">
      <c r="B172" s="10"/>
    </row>
    <row r="173" spans="2:2" s="9" customFormat="1" x14ac:dyDescent="0.2">
      <c r="B173" s="10"/>
    </row>
  </sheetData>
  <mergeCells count="9">
    <mergeCell ref="H10:H11"/>
    <mergeCell ref="I10:I11"/>
    <mergeCell ref="E4:E7"/>
    <mergeCell ref="B2:E2"/>
    <mergeCell ref="B10:B11"/>
    <mergeCell ref="C10:C11"/>
    <mergeCell ref="D10:D11"/>
    <mergeCell ref="E10:F10"/>
    <mergeCell ref="H2:J2"/>
  </mergeCells>
  <hyperlinks>
    <hyperlink ref="F44" r:id="rId1"/>
    <hyperlink ref="F16" r:id="rId2" location="90034A033"/>
    <hyperlink ref="F17" r:id="rId3" location="90473A223"/>
    <hyperlink ref="F24" r:id="rId4" location="94831A661"/>
    <hyperlink ref="F62" r:id="rId5" location="3310T274"/>
    <hyperlink ref="F63" r:id="rId6" location="3115T354"/>
    <hyperlink ref="F64" r:id="rId7" location="3259T116"/>
    <hyperlink ref="F65" r:id="rId8" location="4830K175"/>
    <hyperlink ref="F46" r:id="rId9"/>
    <hyperlink ref="F25" r:id="rId10"/>
    <hyperlink ref="F26" r:id="rId11"/>
    <hyperlink ref="F35" r:id="rId12"/>
    <hyperlink ref="F42" r:id="rId13"/>
    <hyperlink ref="F47" r:id="rId14"/>
    <hyperlink ref="F48" r:id="rId15"/>
    <hyperlink ref="F49" r:id="rId16"/>
    <hyperlink ref="F50" r:id="rId17"/>
    <hyperlink ref="F53" r:id="rId18"/>
  </hyperlinks>
  <pageMargins left="0.7" right="0.7" top="0.75" bottom="0.75" header="0.3" footer="0.3"/>
  <pageSetup paperSize="9" orientation="portrait" verticalDpi="0" r:id="rId19"/>
  <drawing r:id="rId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9"/>
  <sheetViews>
    <sheetView topLeftCell="A26" zoomScale="85" zoomScaleNormal="85" workbookViewId="0">
      <selection activeCell="A29" sqref="A29"/>
    </sheetView>
  </sheetViews>
  <sheetFormatPr defaultRowHeight="15" x14ac:dyDescent="0.25"/>
  <cols>
    <col min="1" max="1" width="16.140625" style="22" customWidth="1"/>
    <col min="2" max="2" width="6" style="22" customWidth="1"/>
    <col min="3" max="3" width="16.7109375" style="22" customWidth="1"/>
    <col min="4" max="4" width="23.28515625" style="22" customWidth="1"/>
    <col min="5" max="5" width="29" style="22" customWidth="1"/>
    <col min="6" max="7" width="19.28515625" style="22" customWidth="1"/>
    <col min="8" max="8" width="24.42578125" style="22" customWidth="1"/>
    <col min="9" max="9" width="20.7109375" style="22" customWidth="1"/>
    <col min="10" max="10" width="11.42578125" style="22" customWidth="1"/>
    <col min="11" max="11" width="13" style="22" customWidth="1"/>
    <col min="12" max="12" width="7.140625" style="22" customWidth="1"/>
    <col min="13" max="14" width="35.85546875" style="27" customWidth="1"/>
    <col min="15" max="15" width="35.85546875" style="22" customWidth="1"/>
    <col min="16" max="20" width="253" style="22" customWidth="1"/>
    <col min="21" max="16384" width="9.140625" style="23"/>
  </cols>
  <sheetData>
    <row r="1" spans="1:20" s="16" customFormat="1" ht="21" customHeight="1" x14ac:dyDescent="0.25">
      <c r="A1" s="148"/>
      <c r="B1" s="148"/>
      <c r="C1" s="148"/>
      <c r="D1" s="148"/>
      <c r="E1" s="148"/>
      <c r="F1" s="148"/>
      <c r="G1" s="148"/>
      <c r="H1" s="148"/>
      <c r="I1" s="148"/>
      <c r="J1" s="148"/>
      <c r="K1" s="148"/>
      <c r="L1" s="148"/>
      <c r="M1" s="148"/>
      <c r="N1" s="148"/>
      <c r="O1" s="148"/>
      <c r="P1" s="148"/>
      <c r="Q1" s="148"/>
      <c r="R1" s="148"/>
      <c r="S1" s="148"/>
      <c r="T1" s="148"/>
    </row>
    <row r="2" spans="1:20" s="16" customFormat="1" ht="21" customHeight="1" x14ac:dyDescent="0.25">
      <c r="A2" s="148"/>
      <c r="B2" s="148"/>
      <c r="C2" s="148"/>
      <c r="D2" s="148"/>
      <c r="E2" s="148"/>
      <c r="F2" s="148"/>
      <c r="G2" s="148"/>
      <c r="H2" s="148"/>
      <c r="I2" s="148"/>
      <c r="J2" s="148"/>
      <c r="K2" s="148"/>
      <c r="L2" s="148"/>
      <c r="M2" s="148"/>
      <c r="N2" s="148"/>
      <c r="O2" s="148"/>
      <c r="P2" s="148"/>
      <c r="Q2" s="148"/>
      <c r="R2" s="148"/>
      <c r="S2" s="148"/>
      <c r="T2" s="148"/>
    </row>
    <row r="3" spans="1:20" s="16" customFormat="1" ht="21" customHeight="1" x14ac:dyDescent="0.25">
      <c r="A3" s="148"/>
      <c r="B3" s="148"/>
      <c r="C3" s="148"/>
      <c r="D3" s="148"/>
      <c r="E3" s="148"/>
      <c r="F3" s="148"/>
      <c r="G3" s="148"/>
      <c r="H3" s="148"/>
      <c r="I3" s="148"/>
      <c r="J3" s="148"/>
      <c r="K3" s="148"/>
      <c r="L3" s="148"/>
      <c r="M3" s="148"/>
      <c r="N3" s="148"/>
      <c r="O3" s="148"/>
      <c r="P3" s="148"/>
      <c r="Q3" s="148"/>
      <c r="R3" s="148"/>
      <c r="S3" s="148"/>
      <c r="T3" s="148"/>
    </row>
    <row r="4" spans="1:20" s="16" customFormat="1" ht="21" customHeight="1" x14ac:dyDescent="0.25">
      <c r="A4" s="148"/>
      <c r="B4" s="148"/>
      <c r="C4" s="148"/>
      <c r="D4" s="148"/>
      <c r="E4" s="148"/>
      <c r="F4" s="148"/>
      <c r="G4" s="148"/>
      <c r="H4" s="148"/>
      <c r="I4" s="148"/>
      <c r="J4" s="148"/>
      <c r="K4" s="148"/>
      <c r="L4" s="148"/>
      <c r="M4" s="148"/>
      <c r="N4" s="148"/>
      <c r="O4" s="148"/>
      <c r="P4" s="148"/>
      <c r="Q4" s="148"/>
      <c r="R4" s="148"/>
      <c r="S4" s="148"/>
      <c r="T4" s="148"/>
    </row>
    <row r="5" spans="1:20" s="16" customFormat="1" ht="21" customHeight="1" x14ac:dyDescent="0.25">
      <c r="A5" s="148"/>
      <c r="B5" s="148"/>
      <c r="C5" s="148"/>
      <c r="D5" s="148"/>
      <c r="E5" s="148"/>
      <c r="F5" s="148"/>
      <c r="G5" s="148"/>
      <c r="H5" s="148"/>
      <c r="I5" s="148"/>
      <c r="J5" s="148"/>
      <c r="K5" s="148"/>
      <c r="L5" s="148"/>
      <c r="M5" s="148"/>
      <c r="N5" s="148"/>
      <c r="O5" s="148"/>
      <c r="P5" s="148"/>
      <c r="Q5" s="148"/>
      <c r="R5" s="148"/>
      <c r="S5" s="148"/>
      <c r="T5" s="148"/>
    </row>
    <row r="6" spans="1:20" s="16" customFormat="1" ht="21" customHeight="1" x14ac:dyDescent="0.25">
      <c r="A6" s="148"/>
      <c r="B6" s="148"/>
      <c r="C6" s="148"/>
      <c r="D6" s="148"/>
      <c r="E6" s="148"/>
      <c r="F6" s="148"/>
      <c r="G6" s="148"/>
      <c r="H6" s="148"/>
      <c r="I6" s="148"/>
      <c r="J6" s="148"/>
      <c r="K6" s="148"/>
      <c r="L6" s="148"/>
      <c r="M6" s="148"/>
      <c r="N6" s="148"/>
      <c r="O6" s="148"/>
      <c r="P6" s="148"/>
      <c r="Q6" s="148"/>
      <c r="R6" s="148"/>
      <c r="S6" s="148"/>
      <c r="T6" s="148"/>
    </row>
    <row r="7" spans="1:20" s="16" customFormat="1" ht="21" customHeight="1" x14ac:dyDescent="0.25">
      <c r="A7" s="148"/>
      <c r="B7" s="148"/>
      <c r="C7" s="148"/>
      <c r="D7" s="148"/>
      <c r="E7" s="148"/>
      <c r="F7" s="148"/>
      <c r="G7" s="148"/>
      <c r="H7" s="148"/>
      <c r="I7" s="148"/>
      <c r="J7" s="148"/>
      <c r="K7" s="148"/>
      <c r="L7" s="148"/>
      <c r="M7" s="148"/>
      <c r="N7" s="148"/>
      <c r="O7" s="148"/>
      <c r="P7" s="148"/>
      <c r="Q7" s="148"/>
      <c r="R7" s="148"/>
      <c r="S7" s="148"/>
      <c r="T7" s="148"/>
    </row>
    <row r="8" spans="1:20" s="16" customFormat="1" ht="20.25" customHeight="1" x14ac:dyDescent="0.25">
      <c r="A8" s="148"/>
      <c r="B8" s="148"/>
      <c r="C8" s="148"/>
      <c r="D8" s="148"/>
      <c r="E8" s="148"/>
      <c r="F8" s="148"/>
      <c r="G8" s="148"/>
      <c r="H8" s="148"/>
      <c r="I8" s="148"/>
      <c r="J8" s="148"/>
      <c r="K8" s="148"/>
      <c r="L8" s="148"/>
      <c r="M8" s="148"/>
      <c r="N8" s="148"/>
      <c r="O8" s="148"/>
      <c r="P8" s="148"/>
      <c r="Q8" s="148"/>
      <c r="R8" s="148"/>
      <c r="S8" s="148"/>
      <c r="T8" s="148"/>
    </row>
    <row r="9" spans="1:20" s="19" customFormat="1" ht="33.75" customHeight="1" x14ac:dyDescent="0.25">
      <c r="A9" s="17"/>
      <c r="B9" s="147" t="s">
        <v>140</v>
      </c>
      <c r="C9" s="147"/>
      <c r="D9" s="147"/>
      <c r="E9" s="147"/>
      <c r="F9" s="147"/>
      <c r="G9" s="147"/>
      <c r="H9" s="147"/>
      <c r="I9" s="147"/>
      <c r="J9" s="147"/>
      <c r="K9" s="147"/>
      <c r="L9" s="73"/>
      <c r="M9" s="18"/>
      <c r="N9" s="18"/>
      <c r="O9" s="17"/>
      <c r="P9" s="17"/>
      <c r="Q9" s="17"/>
      <c r="R9" s="17"/>
      <c r="S9" s="17"/>
      <c r="T9" s="17"/>
    </row>
    <row r="10" spans="1:20" ht="3.75" customHeight="1" x14ac:dyDescent="0.25">
      <c r="A10" s="20"/>
      <c r="B10" s="20"/>
      <c r="C10" s="20"/>
      <c r="D10" s="20"/>
      <c r="E10" s="20"/>
      <c r="F10" s="20"/>
      <c r="G10" s="20"/>
      <c r="H10" s="20"/>
      <c r="I10" s="20"/>
      <c r="J10" s="20"/>
      <c r="K10" s="20"/>
      <c r="L10" s="20"/>
      <c r="M10" s="21"/>
      <c r="N10" s="21"/>
    </row>
    <row r="11" spans="1:20" s="26" customFormat="1" ht="0.75" customHeight="1" x14ac:dyDescent="0.25">
      <c r="A11" s="24"/>
      <c r="B11" s="149"/>
      <c r="C11" s="149"/>
      <c r="D11" s="149"/>
      <c r="E11" s="149"/>
      <c r="F11" s="149"/>
      <c r="G11" s="149"/>
      <c r="H11" s="149"/>
      <c r="I11" s="149"/>
      <c r="J11" s="149"/>
      <c r="K11" s="149"/>
      <c r="L11" s="149"/>
      <c r="M11" s="149"/>
      <c r="N11" s="149"/>
      <c r="O11" s="149"/>
      <c r="P11" s="25"/>
      <c r="Q11" s="25"/>
      <c r="R11" s="25"/>
      <c r="S11" s="22"/>
    </row>
    <row r="12" spans="1:20" ht="15.75" customHeight="1" thickBot="1" x14ac:dyDescent="0.3">
      <c r="B12" s="23"/>
      <c r="C12" s="23"/>
      <c r="D12" s="23"/>
      <c r="E12" s="23"/>
      <c r="F12" s="23"/>
      <c r="G12" s="23"/>
      <c r="H12" s="23"/>
      <c r="I12" s="23"/>
      <c r="J12" s="23"/>
      <c r="K12" s="23"/>
      <c r="L12" s="23"/>
    </row>
    <row r="13" spans="1:20" ht="21" customHeight="1" x14ac:dyDescent="0.25">
      <c r="B13" s="23"/>
      <c r="C13" s="150" t="s">
        <v>141</v>
      </c>
      <c r="D13" s="151"/>
      <c r="E13" s="151"/>
      <c r="F13" s="151"/>
      <c r="G13" s="151"/>
      <c r="H13" s="151"/>
      <c r="I13" s="151"/>
      <c r="J13" s="152"/>
      <c r="K13" s="23"/>
      <c r="L13" s="23"/>
    </row>
    <row r="14" spans="1:20" ht="24.75" customHeight="1" x14ac:dyDescent="0.25">
      <c r="B14" s="23"/>
      <c r="C14" s="153" t="s">
        <v>142</v>
      </c>
      <c r="D14" s="154"/>
      <c r="E14" s="154"/>
      <c r="F14" s="154"/>
      <c r="G14" s="154"/>
      <c r="H14" s="154"/>
      <c r="I14" s="154"/>
      <c r="J14" s="155"/>
      <c r="K14" s="23"/>
      <c r="L14" s="23"/>
    </row>
    <row r="15" spans="1:20" ht="24.75" customHeight="1" x14ac:dyDescent="0.25">
      <c r="B15" s="23"/>
      <c r="C15" s="153"/>
      <c r="D15" s="154"/>
      <c r="E15" s="154"/>
      <c r="F15" s="154"/>
      <c r="G15" s="154"/>
      <c r="H15" s="154"/>
      <c r="I15" s="154"/>
      <c r="J15" s="155"/>
      <c r="K15" s="23"/>
      <c r="L15" s="23"/>
    </row>
    <row r="16" spans="1:20" ht="24.75" customHeight="1" x14ac:dyDescent="0.25">
      <c r="B16" s="23"/>
      <c r="C16" s="153"/>
      <c r="D16" s="154"/>
      <c r="E16" s="154"/>
      <c r="F16" s="154"/>
      <c r="G16" s="154"/>
      <c r="H16" s="154"/>
      <c r="I16" s="154"/>
      <c r="J16" s="155"/>
      <c r="K16" s="23"/>
      <c r="L16" s="23"/>
    </row>
    <row r="17" spans="1:20" ht="24.75" customHeight="1" x14ac:dyDescent="0.25">
      <c r="B17" s="23"/>
      <c r="C17" s="153"/>
      <c r="D17" s="154"/>
      <c r="E17" s="154"/>
      <c r="F17" s="154"/>
      <c r="G17" s="154"/>
      <c r="H17" s="154"/>
      <c r="I17" s="154"/>
      <c r="J17" s="155"/>
      <c r="K17" s="23"/>
      <c r="L17" s="23"/>
    </row>
    <row r="18" spans="1:20" ht="10.5" customHeight="1" x14ac:dyDescent="0.25">
      <c r="B18" s="23"/>
      <c r="C18" s="153"/>
      <c r="D18" s="154"/>
      <c r="E18" s="154"/>
      <c r="F18" s="154"/>
      <c r="G18" s="154"/>
      <c r="H18" s="154"/>
      <c r="I18" s="154"/>
      <c r="J18" s="155"/>
      <c r="K18" s="23"/>
      <c r="L18" s="23"/>
    </row>
    <row r="19" spans="1:20" ht="24.75" customHeight="1" x14ac:dyDescent="0.25">
      <c r="B19" s="23"/>
      <c r="C19" s="142" t="s">
        <v>143</v>
      </c>
      <c r="D19" s="143"/>
      <c r="E19" s="143"/>
      <c r="F19" s="143"/>
      <c r="G19" s="28"/>
      <c r="H19" s="28"/>
      <c r="I19" s="28"/>
      <c r="J19" s="29"/>
      <c r="K19" s="23"/>
      <c r="L19" s="23"/>
    </row>
    <row r="20" spans="1:20" ht="24.75" customHeight="1" x14ac:dyDescent="0.25">
      <c r="B20" s="23"/>
      <c r="C20" s="142"/>
      <c r="D20" s="143"/>
      <c r="E20" s="143"/>
      <c r="F20" s="143"/>
      <c r="G20" s="28"/>
      <c r="H20" s="28"/>
      <c r="I20" s="28"/>
      <c r="J20" s="29"/>
      <c r="K20" s="23"/>
      <c r="L20" s="23"/>
    </row>
    <row r="21" spans="1:20" ht="18" customHeight="1" x14ac:dyDescent="0.25">
      <c r="B21" s="23"/>
      <c r="C21" s="142"/>
      <c r="D21" s="143"/>
      <c r="E21" s="143"/>
      <c r="F21" s="143"/>
      <c r="G21" s="28"/>
      <c r="H21" s="28"/>
      <c r="I21" s="28"/>
      <c r="J21" s="29"/>
      <c r="K21" s="23"/>
      <c r="L21" s="23"/>
    </row>
    <row r="22" spans="1:20" ht="18" customHeight="1" x14ac:dyDescent="0.25">
      <c r="B22" s="23"/>
      <c r="C22" s="142"/>
      <c r="D22" s="143"/>
      <c r="E22" s="143"/>
      <c r="F22" s="143"/>
      <c r="G22" s="28"/>
      <c r="H22" s="28"/>
      <c r="I22" s="28"/>
      <c r="J22" s="29"/>
      <c r="K22" s="23"/>
      <c r="L22" s="23"/>
    </row>
    <row r="23" spans="1:20" ht="18" customHeight="1" x14ac:dyDescent="0.25">
      <c r="B23" s="23"/>
      <c r="C23" s="142"/>
      <c r="D23" s="143"/>
      <c r="E23" s="143"/>
      <c r="F23" s="143"/>
      <c r="G23" s="28"/>
      <c r="H23" s="28"/>
      <c r="I23" s="28"/>
      <c r="J23" s="29"/>
      <c r="K23" s="23"/>
      <c r="L23" s="23"/>
    </row>
    <row r="24" spans="1:20" ht="18" customHeight="1" x14ac:dyDescent="0.25">
      <c r="B24" s="23"/>
      <c r="C24" s="142"/>
      <c r="D24" s="143"/>
      <c r="E24" s="143"/>
      <c r="F24" s="143"/>
      <c r="G24" s="28"/>
      <c r="H24" s="28"/>
      <c r="I24" s="28"/>
      <c r="J24" s="29"/>
      <c r="K24" s="23"/>
      <c r="L24" s="23"/>
    </row>
    <row r="25" spans="1:20" ht="18" customHeight="1" x14ac:dyDescent="0.25">
      <c r="B25" s="23"/>
      <c r="C25" s="142"/>
      <c r="D25" s="143"/>
      <c r="E25" s="143"/>
      <c r="F25" s="143"/>
      <c r="G25" s="28"/>
      <c r="H25" s="28"/>
      <c r="I25" s="28"/>
      <c r="J25" s="29"/>
      <c r="K25" s="23"/>
      <c r="L25" s="23"/>
    </row>
    <row r="26" spans="1:20" ht="14.25" customHeight="1" thickBot="1" x14ac:dyDescent="0.3">
      <c r="B26" s="23"/>
      <c r="C26" s="144"/>
      <c r="D26" s="145"/>
      <c r="E26" s="145"/>
      <c r="F26" s="145"/>
      <c r="G26" s="30"/>
      <c r="H26" s="30"/>
      <c r="I26" s="30"/>
      <c r="J26" s="31"/>
      <c r="K26" s="23"/>
      <c r="L26" s="23"/>
    </row>
    <row r="27" spans="1:20" s="19" customFormat="1" ht="24" customHeight="1" x14ac:dyDescent="0.25">
      <c r="A27" s="17"/>
      <c r="B27" s="146" t="s">
        <v>224</v>
      </c>
      <c r="C27" s="147"/>
      <c r="D27" s="147"/>
      <c r="E27" s="147"/>
      <c r="F27" s="147"/>
      <c r="G27" s="147"/>
      <c r="H27" s="147"/>
      <c r="I27" s="147"/>
      <c r="J27" s="147"/>
      <c r="K27" s="147"/>
      <c r="L27" s="73"/>
      <c r="M27" s="18"/>
      <c r="N27" s="18"/>
      <c r="O27" s="17"/>
      <c r="P27" s="17"/>
      <c r="Q27" s="17"/>
      <c r="R27" s="17"/>
      <c r="S27" s="17"/>
      <c r="T27" s="17"/>
    </row>
    <row r="28" spans="1:20" ht="15.75" thickBot="1" x14ac:dyDescent="0.3">
      <c r="B28" s="23"/>
      <c r="C28" s="23"/>
      <c r="D28" s="23"/>
      <c r="E28" s="23"/>
      <c r="F28" s="23"/>
      <c r="G28" s="23"/>
      <c r="H28" s="23"/>
      <c r="I28" s="23"/>
      <c r="J28" s="23"/>
      <c r="K28" s="23"/>
      <c r="L28" s="23"/>
    </row>
    <row r="29" spans="1:20" ht="48.75" customHeight="1" thickBot="1" x14ac:dyDescent="0.3">
      <c r="A29" s="32"/>
      <c r="B29" s="23"/>
      <c r="C29" s="135" t="s">
        <v>236</v>
      </c>
      <c r="D29" s="136"/>
      <c r="E29" s="136"/>
      <c r="F29" s="136"/>
      <c r="G29" s="136"/>
      <c r="H29" s="136"/>
      <c r="I29" s="136"/>
      <c r="J29" s="136"/>
      <c r="K29" s="23"/>
      <c r="L29" s="23"/>
      <c r="O29" s="33"/>
    </row>
    <row r="30" spans="1:20" ht="58.5" customHeight="1" thickBot="1" x14ac:dyDescent="0.3">
      <c r="B30" s="23"/>
      <c r="C30" s="34" t="s">
        <v>144</v>
      </c>
      <c r="D30" s="34" t="s">
        <v>145</v>
      </c>
      <c r="E30" s="34" t="s">
        <v>146</v>
      </c>
      <c r="F30" s="111" t="s">
        <v>147</v>
      </c>
      <c r="G30" s="111" t="s">
        <v>148</v>
      </c>
      <c r="H30" s="111" t="s">
        <v>149</v>
      </c>
      <c r="I30" s="34" t="s">
        <v>150</v>
      </c>
      <c r="J30" s="34" t="s">
        <v>151</v>
      </c>
      <c r="K30" s="23"/>
      <c r="L30" s="23"/>
      <c r="O30" s="33"/>
    </row>
    <row r="31" spans="1:20" ht="19.5" customHeight="1" thickBot="1" x14ac:dyDescent="0.3">
      <c r="B31" s="23"/>
      <c r="C31" s="35" t="s">
        <v>152</v>
      </c>
      <c r="D31" s="35" t="s">
        <v>153</v>
      </c>
      <c r="E31" s="35" t="s">
        <v>152</v>
      </c>
      <c r="F31" s="112" t="s">
        <v>154</v>
      </c>
      <c r="G31" s="112" t="s">
        <v>155</v>
      </c>
      <c r="H31" s="112" t="s">
        <v>156</v>
      </c>
      <c r="I31" s="35" t="s">
        <v>157</v>
      </c>
      <c r="J31" s="35" t="s">
        <v>158</v>
      </c>
      <c r="K31" s="23"/>
      <c r="L31" s="23"/>
      <c r="N31" s="27" t="s">
        <v>159</v>
      </c>
      <c r="O31" s="33"/>
    </row>
    <row r="32" spans="1:20" ht="25.5" customHeight="1" thickBot="1" x14ac:dyDescent="0.3">
      <c r="B32" s="23"/>
      <c r="C32" s="36">
        <v>0.3125</v>
      </c>
      <c r="D32" s="36">
        <f>1/18</f>
        <v>5.5555555555555552E-2</v>
      </c>
      <c r="E32" s="37">
        <v>6</v>
      </c>
      <c r="F32" s="113" t="s">
        <v>160</v>
      </c>
      <c r="G32" s="113">
        <v>200</v>
      </c>
      <c r="H32" s="113">
        <v>0</v>
      </c>
      <c r="I32" s="38">
        <v>0.2</v>
      </c>
      <c r="J32" s="39">
        <f>ATAN(D32/(C32*PI()))*180/PI()</f>
        <v>3.2388236497299019</v>
      </c>
      <c r="K32" s="23"/>
      <c r="L32" s="23"/>
      <c r="N32" s="27" t="s">
        <v>161</v>
      </c>
      <c r="O32" s="33"/>
    </row>
    <row r="33" spans="1:21" ht="15.75" thickBot="1" x14ac:dyDescent="0.3">
      <c r="B33" s="23" t="s">
        <v>162</v>
      </c>
      <c r="C33" s="23"/>
      <c r="D33" s="23"/>
      <c r="E33" s="23"/>
      <c r="F33" s="23"/>
      <c r="G33" s="23"/>
      <c r="H33" s="23"/>
      <c r="I33" s="23"/>
      <c r="J33" s="40" t="s">
        <v>163</v>
      </c>
      <c r="K33" s="40" t="s">
        <v>164</v>
      </c>
      <c r="L33" s="40"/>
      <c r="N33" s="27" t="s">
        <v>165</v>
      </c>
      <c r="O33" s="33"/>
    </row>
    <row r="34" spans="1:21" ht="29.25" customHeight="1" thickBot="1" x14ac:dyDescent="0.3">
      <c r="B34" s="23" t="s">
        <v>162</v>
      </c>
      <c r="C34" s="137" t="s">
        <v>235</v>
      </c>
      <c r="D34" s="137"/>
      <c r="E34" s="137"/>
      <c r="F34" s="137"/>
      <c r="G34" s="137"/>
      <c r="H34" s="137"/>
      <c r="I34" s="137"/>
      <c r="J34" s="137"/>
      <c r="K34" s="137"/>
      <c r="L34" s="72"/>
      <c r="N34" s="27" t="s">
        <v>160</v>
      </c>
      <c r="U34" s="22"/>
    </row>
    <row r="35" spans="1:21" ht="40.5" customHeight="1" thickBot="1" x14ac:dyDescent="0.3">
      <c r="B35" s="23" t="s">
        <v>162</v>
      </c>
      <c r="C35" s="137" t="s">
        <v>166</v>
      </c>
      <c r="D35" s="137"/>
      <c r="E35" s="137"/>
      <c r="F35" s="137" t="s">
        <v>167</v>
      </c>
      <c r="G35" s="137"/>
      <c r="H35" s="137"/>
      <c r="I35" s="137"/>
      <c r="J35" s="137" t="s">
        <v>199</v>
      </c>
      <c r="K35" s="137"/>
      <c r="L35" s="72"/>
      <c r="M35" s="27" t="s">
        <v>165</v>
      </c>
      <c r="O35" s="33"/>
      <c r="U35" s="22"/>
    </row>
    <row r="36" spans="1:21" ht="50.25" customHeight="1" thickBot="1" x14ac:dyDescent="0.3">
      <c r="B36" s="23" t="s">
        <v>162</v>
      </c>
      <c r="C36" s="41" t="s">
        <v>168</v>
      </c>
      <c r="D36" s="41" t="s">
        <v>169</v>
      </c>
      <c r="E36" s="41" t="s">
        <v>170</v>
      </c>
      <c r="F36" s="41" t="s">
        <v>171</v>
      </c>
      <c r="G36" s="138" t="s">
        <v>234</v>
      </c>
      <c r="H36" s="138"/>
      <c r="I36" s="41" t="s">
        <v>172</v>
      </c>
      <c r="J36" s="41" t="s">
        <v>163</v>
      </c>
      <c r="K36" s="41" t="s">
        <v>197</v>
      </c>
      <c r="L36" s="72"/>
      <c r="M36" s="27" t="s">
        <v>165</v>
      </c>
      <c r="U36" s="22"/>
    </row>
    <row r="37" spans="1:21" ht="15.75" thickBot="1" x14ac:dyDescent="0.3">
      <c r="B37" s="23" t="s">
        <v>162</v>
      </c>
      <c r="C37" s="42" t="s">
        <v>173</v>
      </c>
      <c r="D37" s="42" t="s">
        <v>174</v>
      </c>
      <c r="E37" s="42" t="s">
        <v>155</v>
      </c>
      <c r="F37" s="42" t="s">
        <v>175</v>
      </c>
      <c r="G37" s="42" t="s">
        <v>176</v>
      </c>
      <c r="H37" s="42" t="s">
        <v>177</v>
      </c>
      <c r="I37" s="42" t="s">
        <v>196</v>
      </c>
      <c r="J37" s="42" t="s">
        <v>198</v>
      </c>
      <c r="K37" s="42" t="s">
        <v>198</v>
      </c>
      <c r="L37" s="72"/>
      <c r="M37" s="27" t="s">
        <v>165</v>
      </c>
      <c r="U37" s="22"/>
    </row>
    <row r="38" spans="1:21" ht="15.75" thickBot="1" x14ac:dyDescent="0.3">
      <c r="B38" s="23" t="s">
        <v>162</v>
      </c>
      <c r="C38" s="43">
        <f>29/15</f>
        <v>1.9333333333333333</v>
      </c>
      <c r="D38" s="44">
        <v>7.9656750000000001</v>
      </c>
      <c r="E38" s="45">
        <f>2*PI()*I32*D38/(D32)*C38*(TAN(J32*PI()/180))/(TAN((J32+0.36)*PI()/180))</f>
        <v>313.42215816980848</v>
      </c>
      <c r="F38" s="46">
        <v>90</v>
      </c>
      <c r="G38" s="47">
        <f>F38*D32/C38</f>
        <v>2.5862068965517242</v>
      </c>
      <c r="H38" s="47">
        <f>G38/60</f>
        <v>4.3103448275862072E-2</v>
      </c>
      <c r="I38" s="48">
        <f>(D38/12)*F38/5252*0.745699872*1000</f>
        <v>8.4824869019805789</v>
      </c>
      <c r="J38" s="100">
        <f>1/K38</f>
        <v>1.436781609195402E-4</v>
      </c>
      <c r="K38" s="110">
        <f>200*C38/D32</f>
        <v>6960.0000000000009</v>
      </c>
      <c r="L38" s="72"/>
      <c r="M38" s="27" t="s">
        <v>165</v>
      </c>
      <c r="U38" s="22"/>
    </row>
    <row r="39" spans="1:21" ht="19.5" customHeight="1" x14ac:dyDescent="0.25">
      <c r="B39" s="23"/>
      <c r="C39" s="23"/>
      <c r="D39" s="23"/>
      <c r="E39" s="23"/>
      <c r="F39" s="23"/>
      <c r="G39" s="23"/>
      <c r="H39" s="23"/>
      <c r="I39" s="23"/>
      <c r="J39" s="72"/>
      <c r="K39" s="72"/>
      <c r="L39" s="72"/>
    </row>
    <row r="40" spans="1:21" s="19" customFormat="1" ht="18" customHeight="1" thickBot="1" x14ac:dyDescent="0.3">
      <c r="A40" s="17"/>
      <c r="B40" s="73"/>
      <c r="C40" s="73"/>
      <c r="D40" s="73"/>
      <c r="E40" s="73"/>
      <c r="F40" s="73"/>
      <c r="G40" s="73"/>
      <c r="H40" s="73"/>
      <c r="I40" s="73"/>
      <c r="J40" s="73"/>
      <c r="K40" s="73"/>
      <c r="L40" s="73"/>
      <c r="M40" s="18"/>
      <c r="N40" s="18"/>
      <c r="O40" s="17"/>
      <c r="P40" s="17"/>
      <c r="Q40" s="17"/>
      <c r="R40" s="17"/>
      <c r="S40" s="17"/>
      <c r="T40" s="17"/>
    </row>
    <row r="41" spans="1:21" ht="24" customHeight="1" thickBot="1" x14ac:dyDescent="0.3">
      <c r="B41" s="23"/>
      <c r="C41" s="139" t="s">
        <v>178</v>
      </c>
      <c r="D41" s="140"/>
      <c r="E41" s="140"/>
      <c r="F41" s="140"/>
      <c r="G41" s="140"/>
      <c r="H41" s="140"/>
      <c r="I41" s="141"/>
      <c r="J41" s="72"/>
      <c r="K41" s="72"/>
      <c r="L41" s="72"/>
      <c r="T41" s="23"/>
    </row>
    <row r="42" spans="1:21" ht="56.25" customHeight="1" thickBot="1" x14ac:dyDescent="0.3">
      <c r="B42" s="23"/>
      <c r="C42" s="49" t="s">
        <v>179</v>
      </c>
      <c r="D42" s="49" t="s">
        <v>180</v>
      </c>
      <c r="E42" s="49" t="s">
        <v>181</v>
      </c>
      <c r="F42" s="49" t="s">
        <v>182</v>
      </c>
      <c r="G42" s="49" t="s">
        <v>183</v>
      </c>
      <c r="H42" s="124" t="s">
        <v>184</v>
      </c>
      <c r="I42" s="125"/>
      <c r="J42" s="72"/>
      <c r="K42" s="72"/>
      <c r="L42" s="72"/>
      <c r="T42" s="23"/>
    </row>
    <row r="43" spans="1:21" ht="21.75" customHeight="1" thickBot="1" x14ac:dyDescent="0.3">
      <c r="B43" s="23"/>
      <c r="C43" s="50" t="s">
        <v>174</v>
      </c>
      <c r="D43" s="50" t="s">
        <v>155</v>
      </c>
      <c r="E43" s="50" t="s">
        <v>185</v>
      </c>
      <c r="F43" s="50" t="s">
        <v>185</v>
      </c>
      <c r="G43" s="50" t="s">
        <v>185</v>
      </c>
      <c r="H43" s="126" t="s">
        <v>186</v>
      </c>
      <c r="I43" s="127"/>
      <c r="J43" s="72"/>
      <c r="K43" s="72"/>
      <c r="L43" s="72"/>
      <c r="T43" s="23"/>
    </row>
    <row r="44" spans="1:21" ht="15.75" thickBot="1" x14ac:dyDescent="0.3">
      <c r="B44" s="23"/>
      <c r="C44" s="51">
        <f>(G32*H32+D44)*D32/(2*PI()*I32)*(TAN(J32*PI()/180))/(TAN((J32+0.36)*PI()/180))</f>
        <v>1.6155099879409784</v>
      </c>
      <c r="D44" s="52">
        <f>0.453592*G32*9.81*(0.2+0.003)*0.224808943</f>
        <v>40.613836013044846</v>
      </c>
      <c r="E44" s="53">
        <f>(G32*H32+D44)/(PI()*(C32/2)^2)</f>
        <v>529.52209485002516</v>
      </c>
      <c r="F44" s="53">
        <f>2*C44/(PI()*(C32/2)^3)</f>
        <v>269.60608645101382</v>
      </c>
      <c r="G44" s="53">
        <f>SQRT(3*F44^2+E44^2)</f>
        <v>706.01414609670076</v>
      </c>
      <c r="H44" s="128">
        <f>[2]calculations!C28/G44</f>
        <v>30.198474234367229</v>
      </c>
      <c r="I44" s="129"/>
      <c r="J44" s="72"/>
      <c r="K44" s="72"/>
      <c r="L44" s="72"/>
      <c r="T44" s="23"/>
    </row>
    <row r="45" spans="1:21" ht="15.75" customHeight="1" thickBot="1" x14ac:dyDescent="0.3">
      <c r="B45" s="23"/>
      <c r="C45" s="23"/>
      <c r="D45" s="23"/>
      <c r="E45" s="23"/>
      <c r="F45" s="23"/>
      <c r="G45" s="23"/>
      <c r="H45" s="23"/>
      <c r="I45" s="23"/>
      <c r="J45" s="72"/>
      <c r="K45" s="72"/>
      <c r="L45" s="72"/>
      <c r="M45" s="54"/>
    </row>
    <row r="46" spans="1:21" ht="24.75" customHeight="1" thickBot="1" x14ac:dyDescent="0.3">
      <c r="B46" s="23"/>
      <c r="C46" s="130" t="s">
        <v>187</v>
      </c>
      <c r="D46" s="130"/>
      <c r="E46" s="130"/>
      <c r="F46" s="130"/>
      <c r="G46" s="130"/>
      <c r="H46" s="130"/>
      <c r="I46" s="23"/>
      <c r="J46" s="23"/>
      <c r="K46" s="23"/>
      <c r="L46" s="23"/>
    </row>
    <row r="47" spans="1:21" ht="42" customHeight="1" thickBot="1" x14ac:dyDescent="0.3">
      <c r="B47" s="23"/>
      <c r="C47" s="131" t="s">
        <v>188</v>
      </c>
      <c r="D47" s="131"/>
      <c r="E47" s="132" t="s">
        <v>189</v>
      </c>
      <c r="F47" s="133"/>
      <c r="G47" s="133"/>
      <c r="H47" s="134"/>
      <c r="I47" s="23"/>
      <c r="J47" s="23"/>
      <c r="K47" s="55"/>
      <c r="L47" s="55"/>
    </row>
    <row r="48" spans="1:21" ht="23.25" customHeight="1" thickBot="1" x14ac:dyDescent="0.3">
      <c r="B48" s="23"/>
      <c r="C48" s="131" t="s">
        <v>155</v>
      </c>
      <c r="D48" s="131"/>
      <c r="E48" s="131" t="s">
        <v>190</v>
      </c>
      <c r="F48" s="131"/>
      <c r="G48" s="131" t="s">
        <v>177</v>
      </c>
      <c r="H48" s="131"/>
      <c r="I48" s="23"/>
      <c r="J48" s="23"/>
      <c r="K48" s="55"/>
      <c r="L48" s="55"/>
    </row>
    <row r="49" spans="2:12" ht="29.25" customHeight="1" thickBot="1" x14ac:dyDescent="0.3">
      <c r="B49" s="23"/>
      <c r="C49" s="122">
        <f>INDEX([2]calculations!C40:C43,[2]calculations!D39)*PI()^2*[2]calculations!C31*[2]calculations!C37/((E32*0.0254)^2)*0.2248089</f>
        <v>15263.911892796887</v>
      </c>
      <c r="D49" s="122"/>
      <c r="E49" s="122">
        <f>2.71*10^8*INDEX([2]calculations!E40:E43,[2]calculations!D39,0)*(C32*0.0254)*1000/(E32*0.0254*1000)^2</f>
        <v>92615.376202974643</v>
      </c>
      <c r="F49" s="122"/>
      <c r="G49" s="123">
        <f>MAX(E49)*D32/60</f>
        <v>85.754977965717259</v>
      </c>
      <c r="H49" s="123"/>
      <c r="I49" s="23"/>
      <c r="J49" s="23"/>
      <c r="K49" s="55"/>
      <c r="L49" s="55"/>
    </row>
    <row r="50" spans="2:12" ht="16.5" customHeight="1" x14ac:dyDescent="0.25">
      <c r="B50" s="23"/>
      <c r="C50" s="23"/>
      <c r="D50" s="23"/>
      <c r="E50" s="23"/>
      <c r="F50" s="23"/>
      <c r="G50" s="23"/>
      <c r="H50" s="23"/>
      <c r="I50" s="23"/>
      <c r="J50" s="23"/>
      <c r="K50" s="55"/>
      <c r="L50" s="55"/>
    </row>
    <row r="51" spans="2:12" x14ac:dyDescent="0.25">
      <c r="B51" s="23"/>
      <c r="C51" s="56"/>
      <c r="D51" s="23"/>
      <c r="E51" s="57"/>
      <c r="F51" s="23"/>
      <c r="G51" s="23"/>
      <c r="H51" s="23"/>
      <c r="I51" s="23"/>
      <c r="J51" s="23"/>
      <c r="K51" s="23"/>
      <c r="L51" s="23"/>
    </row>
    <row r="52" spans="2:12" x14ac:dyDescent="0.25">
      <c r="B52" s="23"/>
      <c r="C52" s="56"/>
      <c r="D52" s="23"/>
      <c r="E52" s="57"/>
      <c r="F52" s="23"/>
      <c r="G52" s="23"/>
      <c r="H52" s="23"/>
      <c r="I52" s="23"/>
      <c r="J52" s="23"/>
      <c r="K52" s="23"/>
      <c r="L52" s="23"/>
    </row>
    <row r="53" spans="2:12" x14ac:dyDescent="0.25">
      <c r="B53" s="23"/>
      <c r="C53" s="56"/>
      <c r="D53" s="23"/>
      <c r="E53" s="57"/>
      <c r="F53" s="23"/>
      <c r="G53" s="23"/>
      <c r="H53" s="23"/>
      <c r="I53" s="23"/>
      <c r="J53" s="23"/>
      <c r="K53" s="23"/>
      <c r="L53" s="23"/>
    </row>
    <row r="54" spans="2:12" x14ac:dyDescent="0.25">
      <c r="B54" s="23"/>
      <c r="C54" s="56"/>
      <c r="D54" s="23"/>
      <c r="E54" s="57"/>
      <c r="F54" s="23"/>
      <c r="G54" s="23"/>
      <c r="H54" s="23"/>
      <c r="I54" s="23"/>
      <c r="J54" s="23"/>
      <c r="K54" s="23"/>
      <c r="L54" s="23"/>
    </row>
    <row r="55" spans="2:12" x14ac:dyDescent="0.25">
      <c r="B55" s="23"/>
      <c r="C55" s="56"/>
      <c r="D55" s="23"/>
      <c r="E55" s="57"/>
      <c r="F55" s="23"/>
      <c r="G55" s="23"/>
      <c r="H55" s="23"/>
      <c r="I55" s="23"/>
      <c r="J55" s="23"/>
      <c r="K55" s="23"/>
      <c r="L55" s="23"/>
    </row>
    <row r="56" spans="2:12" x14ac:dyDescent="0.25">
      <c r="B56" s="23"/>
      <c r="C56" s="56"/>
      <c r="D56" s="23"/>
      <c r="E56" s="57"/>
      <c r="F56" s="23"/>
      <c r="G56" s="23"/>
      <c r="H56" s="23"/>
      <c r="I56" s="23"/>
      <c r="J56" s="23"/>
      <c r="K56" s="23"/>
      <c r="L56" s="23"/>
    </row>
    <row r="57" spans="2:12" x14ac:dyDescent="0.25">
      <c r="B57" s="23"/>
      <c r="C57" s="56"/>
      <c r="D57" s="23"/>
      <c r="E57" s="57"/>
      <c r="F57" s="23"/>
      <c r="G57" s="23"/>
      <c r="H57" s="23"/>
      <c r="I57" s="23"/>
      <c r="J57" s="23"/>
      <c r="K57" s="23"/>
      <c r="L57" s="23"/>
    </row>
    <row r="58" spans="2:12" x14ac:dyDescent="0.25">
      <c r="B58" s="23"/>
      <c r="C58" s="56"/>
      <c r="D58" s="23"/>
      <c r="E58" s="57"/>
      <c r="F58" s="23"/>
      <c r="G58" s="23"/>
      <c r="H58" s="23"/>
      <c r="I58" s="23"/>
      <c r="J58" s="23"/>
      <c r="K58" s="23"/>
      <c r="L58" s="23"/>
    </row>
    <row r="59" spans="2:12" x14ac:dyDescent="0.25">
      <c r="B59" s="23"/>
      <c r="C59" s="56"/>
      <c r="D59" s="23"/>
      <c r="E59" s="57"/>
      <c r="F59" s="23"/>
      <c r="G59" s="23"/>
      <c r="H59" s="23"/>
      <c r="I59" s="23"/>
      <c r="J59" s="23"/>
      <c r="K59" s="23"/>
      <c r="L59" s="23"/>
    </row>
    <row r="60" spans="2:12" x14ac:dyDescent="0.25">
      <c r="B60" s="23"/>
      <c r="C60" s="56"/>
      <c r="D60" s="23"/>
      <c r="E60" s="57"/>
      <c r="F60" s="23"/>
      <c r="G60" s="23"/>
      <c r="H60" s="23"/>
      <c r="I60" s="23"/>
      <c r="J60" s="23"/>
      <c r="K60" s="23"/>
      <c r="L60" s="23"/>
    </row>
    <row r="61" spans="2:12" x14ac:dyDescent="0.25">
      <c r="B61" s="23"/>
      <c r="C61" s="56"/>
      <c r="D61" s="23"/>
      <c r="E61" s="57"/>
      <c r="F61" s="23"/>
      <c r="G61" s="23"/>
      <c r="H61" s="23"/>
      <c r="I61" s="23"/>
      <c r="J61" s="23"/>
      <c r="K61" s="23"/>
      <c r="L61" s="23"/>
    </row>
    <row r="62" spans="2:12" x14ac:dyDescent="0.25">
      <c r="B62" s="23"/>
      <c r="C62" s="56"/>
      <c r="D62" s="23"/>
      <c r="E62" s="57"/>
      <c r="F62" s="23"/>
      <c r="G62" s="23"/>
      <c r="H62" s="23"/>
      <c r="I62" s="23"/>
      <c r="J62" s="23"/>
      <c r="K62" s="23"/>
      <c r="L62" s="23"/>
    </row>
    <row r="63" spans="2:12" x14ac:dyDescent="0.25">
      <c r="B63" s="23"/>
      <c r="C63" s="56"/>
      <c r="D63" s="23"/>
      <c r="E63" s="57"/>
      <c r="F63" s="23"/>
      <c r="G63" s="23"/>
      <c r="H63" s="23"/>
      <c r="I63" s="23"/>
      <c r="J63" s="23"/>
      <c r="K63" s="23"/>
      <c r="L63" s="23"/>
    </row>
    <row r="64" spans="2:12" x14ac:dyDescent="0.25">
      <c r="B64" s="23"/>
      <c r="C64" s="56"/>
      <c r="D64" s="23"/>
      <c r="E64" s="57"/>
      <c r="F64" s="23"/>
      <c r="G64" s="23"/>
      <c r="H64" s="23"/>
      <c r="I64" s="23"/>
      <c r="J64" s="23"/>
      <c r="K64" s="23"/>
      <c r="L64" s="23"/>
    </row>
    <row r="65" spans="2:12" x14ac:dyDescent="0.25">
      <c r="B65" s="23"/>
      <c r="C65" s="56"/>
      <c r="D65" s="23"/>
      <c r="E65" s="57"/>
      <c r="F65" s="23"/>
      <c r="G65" s="23"/>
      <c r="H65" s="23"/>
      <c r="I65" s="23"/>
      <c r="J65" s="23"/>
      <c r="K65" s="23"/>
      <c r="L65" s="23"/>
    </row>
    <row r="66" spans="2:12" x14ac:dyDescent="0.25">
      <c r="B66" s="23"/>
      <c r="C66" s="56"/>
      <c r="D66" s="23"/>
      <c r="E66" s="57"/>
      <c r="F66" s="23"/>
      <c r="G66" s="23"/>
      <c r="H66" s="23"/>
      <c r="I66" s="23"/>
      <c r="J66" s="23"/>
      <c r="K66" s="23"/>
      <c r="L66" s="23"/>
    </row>
    <row r="67" spans="2:12" x14ac:dyDescent="0.25">
      <c r="B67" s="23"/>
      <c r="C67" s="56"/>
      <c r="D67" s="23"/>
      <c r="E67" s="57"/>
      <c r="F67" s="23"/>
      <c r="G67" s="23"/>
      <c r="H67" s="23"/>
      <c r="I67" s="23"/>
      <c r="J67" s="23"/>
      <c r="K67" s="23"/>
      <c r="L67" s="23"/>
    </row>
    <row r="68" spans="2:12" x14ac:dyDescent="0.25">
      <c r="B68" s="23"/>
      <c r="C68" s="56"/>
      <c r="D68" s="23"/>
      <c r="E68" s="57"/>
      <c r="F68" s="23"/>
      <c r="G68" s="23"/>
      <c r="H68" s="23"/>
      <c r="I68" s="23"/>
      <c r="J68" s="23"/>
      <c r="K68" s="23"/>
      <c r="L68" s="23"/>
    </row>
    <row r="69" spans="2:12" ht="15.75" thickBot="1" x14ac:dyDescent="0.3">
      <c r="B69" s="23"/>
      <c r="C69" s="56"/>
      <c r="D69" s="23"/>
      <c r="E69" s="57"/>
      <c r="F69" s="23"/>
      <c r="G69" s="23"/>
      <c r="H69" s="23"/>
      <c r="I69" s="23"/>
      <c r="J69" s="23"/>
      <c r="K69" s="23"/>
      <c r="L69" s="23"/>
    </row>
    <row r="70" spans="2:12" x14ac:dyDescent="0.25">
      <c r="B70" s="23"/>
      <c r="C70" s="58" t="s">
        <v>191</v>
      </c>
      <c r="D70" s="59"/>
      <c r="E70" s="60"/>
      <c r="F70" s="59"/>
      <c r="G70" s="59"/>
      <c r="H70" s="59"/>
      <c r="I70" s="59"/>
      <c r="J70" s="61"/>
      <c r="K70" s="23"/>
      <c r="L70" s="23"/>
    </row>
    <row r="71" spans="2:12" x14ac:dyDescent="0.25">
      <c r="B71" s="23"/>
      <c r="C71" s="62" t="s">
        <v>192</v>
      </c>
      <c r="D71" s="63"/>
      <c r="E71" s="64"/>
      <c r="F71" s="63"/>
      <c r="G71" s="63"/>
      <c r="H71" s="63"/>
      <c r="I71" s="63"/>
      <c r="J71" s="65"/>
      <c r="K71" s="23"/>
      <c r="L71" s="23"/>
    </row>
    <row r="72" spans="2:12" x14ac:dyDescent="0.25">
      <c r="B72" s="23"/>
      <c r="C72" s="62" t="s">
        <v>193</v>
      </c>
      <c r="D72" s="63"/>
      <c r="E72" s="64"/>
      <c r="F72" s="63"/>
      <c r="G72" s="63"/>
      <c r="H72" s="63"/>
      <c r="I72" s="63"/>
      <c r="J72" s="65"/>
      <c r="K72" s="23"/>
      <c r="L72" s="23"/>
    </row>
    <row r="73" spans="2:12" x14ac:dyDescent="0.25">
      <c r="B73" s="23"/>
      <c r="C73" s="62" t="s">
        <v>194</v>
      </c>
      <c r="D73" s="63"/>
      <c r="E73" s="64"/>
      <c r="F73" s="63"/>
      <c r="G73" s="63"/>
      <c r="H73" s="63"/>
      <c r="I73" s="63"/>
      <c r="J73" s="65"/>
      <c r="K73" s="23"/>
      <c r="L73" s="23"/>
    </row>
    <row r="74" spans="2:12" ht="15.75" thickBot="1" x14ac:dyDescent="0.3">
      <c r="B74" s="23"/>
      <c r="C74" s="66" t="s">
        <v>195</v>
      </c>
      <c r="D74" s="67"/>
      <c r="E74" s="68"/>
      <c r="F74" s="67"/>
      <c r="G74" s="67"/>
      <c r="H74" s="67"/>
      <c r="I74" s="67"/>
      <c r="J74" s="69"/>
      <c r="K74" s="23"/>
      <c r="L74" s="23"/>
    </row>
    <row r="75" spans="2:12" x14ac:dyDescent="0.25">
      <c r="B75" s="23"/>
      <c r="C75" s="56"/>
      <c r="D75" s="23"/>
      <c r="E75" s="57"/>
      <c r="F75" s="23"/>
      <c r="G75" s="23"/>
      <c r="H75" s="23"/>
      <c r="I75" s="23"/>
      <c r="J75" s="23"/>
      <c r="K75" s="23"/>
      <c r="L75" s="23"/>
    </row>
    <row r="76" spans="2:12" x14ac:dyDescent="0.25">
      <c r="C76" s="70"/>
      <c r="E76" s="71"/>
    </row>
    <row r="77" spans="2:12" x14ac:dyDescent="0.25">
      <c r="C77" s="70"/>
      <c r="E77" s="71"/>
    </row>
    <row r="78" spans="2:12" x14ac:dyDescent="0.25">
      <c r="C78" s="70"/>
      <c r="E78" s="71"/>
    </row>
    <row r="79" spans="2:12" x14ac:dyDescent="0.25">
      <c r="C79" s="70"/>
      <c r="E79" s="71"/>
    </row>
  </sheetData>
  <sheetProtection selectLockedCells="1"/>
  <mergeCells count="26">
    <mergeCell ref="C19:F26"/>
    <mergeCell ref="B27:K27"/>
    <mergeCell ref="A1:T8"/>
    <mergeCell ref="B9:K9"/>
    <mergeCell ref="B11:O11"/>
    <mergeCell ref="C13:J13"/>
    <mergeCell ref="C14:J18"/>
    <mergeCell ref="C29:J29"/>
    <mergeCell ref="C35:E35"/>
    <mergeCell ref="F35:I35"/>
    <mergeCell ref="G36:H36"/>
    <mergeCell ref="C41:I41"/>
    <mergeCell ref="J35:K35"/>
    <mergeCell ref="C34:K34"/>
    <mergeCell ref="C49:D49"/>
    <mergeCell ref="E49:F49"/>
    <mergeCell ref="G49:H49"/>
    <mergeCell ref="H42:I42"/>
    <mergeCell ref="H43:I43"/>
    <mergeCell ref="H44:I44"/>
    <mergeCell ref="C46:H46"/>
    <mergeCell ref="C47:D47"/>
    <mergeCell ref="E47:H47"/>
    <mergeCell ref="C48:D48"/>
    <mergeCell ref="E48:F48"/>
    <mergeCell ref="G48:H48"/>
  </mergeCells>
  <dataValidations count="1">
    <dataValidation type="list" allowBlank="1" showInputMessage="1" showErrorMessage="1" sqref="F32">
      <formula1>$N$31:$N$34</formula1>
    </dataValidation>
  </dataValidations>
  <hyperlinks>
    <hyperlink ref="C71" r:id="rId1"/>
    <hyperlink ref="C73" r:id="rId2"/>
    <hyperlink ref="C74" r:id="rId3"/>
  </hyperlinks>
  <pageMargins left="0.7" right="0.7" top="0.75" bottom="0.75"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zoomScale="85" zoomScaleNormal="85" workbookViewId="0">
      <selection activeCell="A7" sqref="A7"/>
    </sheetView>
  </sheetViews>
  <sheetFormatPr defaultRowHeight="12.75" x14ac:dyDescent="0.2"/>
  <cols>
    <col min="1" max="1" width="15.85546875" style="101" customWidth="1"/>
    <col min="2" max="2" width="6.42578125" style="101" customWidth="1"/>
    <col min="3" max="6" width="9.140625" style="101"/>
    <col min="7" max="7" width="12.140625" style="101" customWidth="1"/>
    <col min="8" max="9" width="9.140625" style="101"/>
    <col min="10" max="10" width="12.42578125" style="101" bestFit="1" customWidth="1"/>
    <col min="11" max="12" width="9.140625" style="101"/>
    <col min="13" max="13" width="10.5703125" style="101" bestFit="1" customWidth="1"/>
    <col min="14" max="16384" width="9.140625" style="101"/>
  </cols>
  <sheetData>
    <row r="1" spans="1:20" s="108" customFormat="1" ht="15.75" customHeight="1" x14ac:dyDescent="0.25">
      <c r="A1" s="107"/>
      <c r="B1" s="156" t="s">
        <v>224</v>
      </c>
      <c r="C1" s="156"/>
      <c r="D1" s="156"/>
      <c r="E1" s="156"/>
      <c r="F1" s="156"/>
      <c r="G1" s="156"/>
      <c r="H1" s="156"/>
      <c r="I1" s="156"/>
      <c r="J1" s="156"/>
      <c r="K1" s="156"/>
      <c r="L1" s="156"/>
      <c r="M1" s="156"/>
      <c r="N1" s="156"/>
      <c r="O1" s="156"/>
      <c r="P1" s="156"/>
      <c r="Q1" s="156"/>
      <c r="R1" s="156"/>
      <c r="S1" s="156"/>
      <c r="T1" s="107"/>
    </row>
    <row r="2" spans="1:20" ht="5.25" customHeight="1" x14ac:dyDescent="0.2"/>
    <row r="3" spans="1:20" ht="17.25" customHeight="1" x14ac:dyDescent="0.25">
      <c r="B3" s="158" t="s">
        <v>215</v>
      </c>
      <c r="C3" s="158"/>
      <c r="D3" s="158"/>
      <c r="E3" s="158"/>
      <c r="F3" s="158"/>
      <c r="G3" s="158"/>
      <c r="H3" s="158"/>
      <c r="I3" s="158"/>
      <c r="J3" s="158"/>
      <c r="K3" s="158"/>
      <c r="L3" s="158"/>
      <c r="M3" s="158"/>
      <c r="N3" s="158"/>
      <c r="O3" s="158"/>
      <c r="P3" s="158"/>
      <c r="Q3" s="158"/>
      <c r="R3" s="158"/>
      <c r="S3" s="158"/>
    </row>
    <row r="4" spans="1:20" ht="15" x14ac:dyDescent="0.25">
      <c r="B4" s="74"/>
      <c r="C4" s="74"/>
      <c r="D4" s="74"/>
      <c r="E4" s="74"/>
      <c r="F4" s="76"/>
      <c r="G4" s="77"/>
      <c r="H4" s="74"/>
      <c r="I4" s="74"/>
      <c r="J4" s="74"/>
      <c r="K4" s="74"/>
      <c r="L4" s="74"/>
      <c r="M4" s="74"/>
      <c r="N4" s="74"/>
      <c r="O4" s="74"/>
      <c r="P4" s="74"/>
      <c r="Q4" s="74"/>
      <c r="R4" s="74"/>
      <c r="S4" s="74"/>
    </row>
    <row r="5" spans="1:20" ht="15" x14ac:dyDescent="0.25">
      <c r="B5" s="74"/>
      <c r="C5" s="74"/>
      <c r="D5" s="74"/>
      <c r="E5" s="74"/>
      <c r="F5" s="78" t="s">
        <v>216</v>
      </c>
      <c r="G5" s="79">
        <v>5</v>
      </c>
      <c r="H5" s="74" t="s">
        <v>200</v>
      </c>
      <c r="I5" s="80" t="s">
        <v>226</v>
      </c>
      <c r="J5" s="74"/>
      <c r="K5" s="74"/>
      <c r="L5" s="74"/>
      <c r="M5" s="74"/>
      <c r="N5" s="74"/>
      <c r="O5" s="74"/>
      <c r="P5" s="74"/>
      <c r="Q5" s="74"/>
      <c r="R5" s="74"/>
      <c r="S5" s="74"/>
    </row>
    <row r="6" spans="1:20" ht="15" x14ac:dyDescent="0.25">
      <c r="B6" s="74"/>
      <c r="C6" s="74"/>
      <c r="D6" s="75"/>
      <c r="E6"/>
      <c r="F6" s="95" t="s">
        <v>203</v>
      </c>
      <c r="G6" s="96">
        <v>5</v>
      </c>
      <c r="H6" s="97" t="s">
        <v>200</v>
      </c>
      <c r="I6" s="98" t="s">
        <v>217</v>
      </c>
      <c r="J6" s="99"/>
      <c r="K6" s="75"/>
      <c r="L6" s="75"/>
      <c r="M6" s="75"/>
      <c r="N6" s="75"/>
      <c r="O6" s="74"/>
      <c r="P6" s="74"/>
      <c r="Q6" s="74"/>
      <c r="R6" s="74"/>
      <c r="S6" s="74"/>
    </row>
    <row r="7" spans="1:20" x14ac:dyDescent="0.2">
      <c r="B7" s="74"/>
      <c r="C7" s="74"/>
      <c r="D7" s="75"/>
      <c r="E7" s="75"/>
      <c r="F7" s="85" t="s">
        <v>212</v>
      </c>
      <c r="G7" s="92">
        <v>200</v>
      </c>
      <c r="H7" s="75" t="s">
        <v>202</v>
      </c>
      <c r="I7" s="74"/>
      <c r="J7" s="75"/>
      <c r="K7" s="75"/>
      <c r="L7" s="75"/>
      <c r="M7" s="75"/>
      <c r="N7" s="75"/>
      <c r="O7" s="74"/>
      <c r="P7" s="74"/>
      <c r="Q7" s="74"/>
      <c r="R7" s="74"/>
      <c r="S7" s="74"/>
    </row>
    <row r="8" spans="1:20" x14ac:dyDescent="0.2">
      <c r="B8" s="74"/>
      <c r="C8" s="74"/>
      <c r="D8" s="86"/>
      <c r="E8" s="74"/>
      <c r="F8" s="87" t="s">
        <v>206</v>
      </c>
      <c r="G8" s="88">
        <v>10</v>
      </c>
      <c r="H8" s="80" t="s">
        <v>207</v>
      </c>
      <c r="I8" s="80" t="s">
        <v>208</v>
      </c>
      <c r="J8" s="74"/>
      <c r="K8" s="75"/>
      <c r="L8" s="75"/>
      <c r="M8" s="75"/>
      <c r="N8" s="75"/>
      <c r="O8" s="74"/>
      <c r="P8" s="74"/>
      <c r="Q8" s="74"/>
      <c r="R8" s="74"/>
      <c r="S8" s="74"/>
    </row>
    <row r="9" spans="1:20" ht="15" x14ac:dyDescent="0.25">
      <c r="B9" s="74"/>
      <c r="C9" s="74"/>
      <c r="D9" s="75"/>
      <c r="E9" s="85"/>
      <c r="F9" s="74"/>
      <c r="G9" s="74"/>
      <c r="H9" s="74"/>
      <c r="I9" s="75" t="s">
        <v>162</v>
      </c>
      <c r="J9" s="75"/>
      <c r="K9" s="75"/>
      <c r="L9" s="75"/>
      <c r="M9" s="89"/>
      <c r="N9" s="75"/>
      <c r="O9" s="74"/>
      <c r="P9" s="74"/>
      <c r="Q9" s="74"/>
      <c r="R9" s="74"/>
      <c r="S9" s="74"/>
    </row>
    <row r="10" spans="1:20" ht="16.5" customHeight="1" x14ac:dyDescent="0.3">
      <c r="B10" s="74"/>
      <c r="C10" s="74"/>
      <c r="D10" s="74"/>
      <c r="E10" s="75"/>
      <c r="F10" s="87" t="s">
        <v>220</v>
      </c>
      <c r="G10" s="93">
        <v>609</v>
      </c>
      <c r="H10" s="91" t="s">
        <v>201</v>
      </c>
      <c r="I10" s="74" t="s">
        <v>218</v>
      </c>
      <c r="J10" s="75"/>
      <c r="K10" s="74"/>
      <c r="L10" s="74"/>
      <c r="M10" s="74"/>
      <c r="N10" s="89"/>
      <c r="O10" s="74"/>
      <c r="P10" s="74"/>
      <c r="Q10" s="74"/>
      <c r="R10" s="74"/>
      <c r="S10" s="74"/>
    </row>
    <row r="11" spans="1:20" x14ac:dyDescent="0.2">
      <c r="B11" s="74"/>
      <c r="C11" s="74"/>
      <c r="D11" s="74"/>
      <c r="E11" s="74"/>
      <c r="F11" s="81" t="s">
        <v>204</v>
      </c>
      <c r="G11" s="84">
        <f>5+200000/G10</f>
        <v>333.40722495894909</v>
      </c>
      <c r="H11" s="74"/>
      <c r="I11" s="91" t="s">
        <v>230</v>
      </c>
      <c r="J11" s="74"/>
      <c r="K11" s="74"/>
      <c r="L11" s="74"/>
      <c r="M11" s="74"/>
      <c r="N11" s="74"/>
      <c r="O11" s="74"/>
      <c r="P11" s="74"/>
      <c r="Q11" s="74"/>
      <c r="R11" s="74"/>
      <c r="S11" s="74"/>
    </row>
    <row r="12" spans="1:20" x14ac:dyDescent="0.2">
      <c r="B12" s="74"/>
      <c r="C12" s="74"/>
      <c r="D12" s="74"/>
      <c r="E12" s="74"/>
      <c r="F12" s="74"/>
      <c r="G12" s="74"/>
      <c r="H12" s="74"/>
      <c r="I12" s="74"/>
      <c r="J12" s="74"/>
      <c r="K12" s="74"/>
      <c r="L12" s="74"/>
      <c r="M12" s="74"/>
      <c r="N12" s="74"/>
      <c r="O12" s="74"/>
      <c r="P12" s="74"/>
      <c r="Q12" s="74"/>
      <c r="R12" s="74"/>
      <c r="S12" s="74"/>
    </row>
    <row r="13" spans="1:20" x14ac:dyDescent="0.2">
      <c r="B13" s="74"/>
      <c r="C13" s="74"/>
      <c r="D13" s="74"/>
      <c r="E13" s="74"/>
      <c r="F13" s="85" t="s">
        <v>213</v>
      </c>
      <c r="G13" s="92">
        <v>2.9990999999999999</v>
      </c>
      <c r="H13" s="74" t="s">
        <v>228</v>
      </c>
      <c r="I13" s="74" t="s">
        <v>214</v>
      </c>
      <c r="J13" s="74"/>
      <c r="K13" s="74"/>
      <c r="L13" s="74"/>
      <c r="M13" s="74"/>
      <c r="N13" s="74"/>
      <c r="O13" s="74"/>
      <c r="P13" s="74"/>
      <c r="Q13" s="74"/>
      <c r="R13" s="74"/>
      <c r="S13" s="74"/>
    </row>
    <row r="14" spans="1:20" x14ac:dyDescent="0.2">
      <c r="B14" s="74"/>
      <c r="C14" s="74"/>
      <c r="D14" s="74"/>
      <c r="E14" s="74"/>
      <c r="F14" s="85" t="s">
        <v>227</v>
      </c>
      <c r="G14" s="94">
        <f>((G5*(G13/1000)/G7)^-1)/G11</f>
        <v>40.003135910853786</v>
      </c>
      <c r="H14" s="75" t="s">
        <v>205</v>
      </c>
      <c r="I14" s="74" t="s">
        <v>225</v>
      </c>
      <c r="J14" s="74"/>
      <c r="K14" s="74"/>
      <c r="L14" s="74"/>
      <c r="M14" s="74"/>
      <c r="N14" s="74"/>
      <c r="O14" s="74"/>
      <c r="P14" s="74"/>
      <c r="Q14" s="74"/>
      <c r="R14" s="74"/>
      <c r="S14" s="74"/>
    </row>
    <row r="15" spans="1:20" x14ac:dyDescent="0.2">
      <c r="B15" s="74"/>
      <c r="C15" s="74"/>
      <c r="D15" s="74"/>
      <c r="E15" s="74"/>
      <c r="F15" s="74"/>
      <c r="G15" s="74"/>
      <c r="H15" s="74"/>
      <c r="I15" s="74"/>
      <c r="J15" s="74"/>
      <c r="K15" s="74"/>
      <c r="L15" s="74"/>
      <c r="M15" s="74"/>
      <c r="N15" s="74"/>
      <c r="O15" s="74"/>
      <c r="P15" s="74"/>
      <c r="Q15" s="74"/>
      <c r="R15" s="74"/>
      <c r="S15" s="74"/>
    </row>
    <row r="16" spans="1:20" x14ac:dyDescent="0.2">
      <c r="B16" s="74"/>
      <c r="C16" s="75"/>
      <c r="D16" s="75"/>
      <c r="E16" s="75"/>
      <c r="F16" s="85" t="s">
        <v>219</v>
      </c>
      <c r="G16" s="94">
        <f>G14*G5</f>
        <v>200.01567955426893</v>
      </c>
      <c r="H16" s="75" t="s">
        <v>202</v>
      </c>
      <c r="I16" s="75"/>
      <c r="J16" s="75"/>
      <c r="K16" s="75"/>
      <c r="L16" s="75"/>
      <c r="M16" s="74"/>
      <c r="N16" s="74"/>
      <c r="O16" s="74"/>
      <c r="P16" s="74"/>
      <c r="Q16" s="74"/>
      <c r="R16" s="74"/>
      <c r="S16" s="74"/>
    </row>
    <row r="17" spans="2:19" ht="15" x14ac:dyDescent="0.25">
      <c r="B17" s="74"/>
      <c r="C17" s="74"/>
      <c r="D17" s="83"/>
      <c r="E17" s="89"/>
      <c r="F17" s="81" t="s">
        <v>209</v>
      </c>
      <c r="G17" s="90">
        <f>G16/2^G8</f>
        <v>0.19532781206471575</v>
      </c>
      <c r="H17" s="83" t="s">
        <v>210</v>
      </c>
      <c r="I17" s="82" t="s">
        <v>211</v>
      </c>
      <c r="J17" s="75"/>
      <c r="K17" s="75"/>
      <c r="L17" s="75"/>
      <c r="M17" s="75"/>
      <c r="N17" s="75"/>
      <c r="O17" s="74"/>
      <c r="P17" s="74"/>
      <c r="Q17" s="74"/>
      <c r="R17" s="74"/>
      <c r="S17" s="74"/>
    </row>
    <row r="18" spans="2:19" ht="15" x14ac:dyDescent="0.25">
      <c r="B18" s="74"/>
      <c r="C18" s="74"/>
      <c r="D18" s="83"/>
      <c r="E18" s="89"/>
      <c r="F18" s="81"/>
      <c r="G18" s="90"/>
      <c r="H18" s="83"/>
      <c r="I18" s="82"/>
      <c r="J18" s="75"/>
      <c r="K18" s="75"/>
      <c r="L18" s="75"/>
      <c r="M18" s="75"/>
      <c r="N18" s="75"/>
      <c r="O18" s="74"/>
      <c r="P18" s="74"/>
      <c r="Q18" s="74"/>
      <c r="R18" s="74"/>
      <c r="S18" s="74"/>
    </row>
    <row r="19" spans="2:19" ht="12.75" customHeight="1" x14ac:dyDescent="0.2">
      <c r="B19" s="74"/>
      <c r="C19" s="157" t="s">
        <v>229</v>
      </c>
      <c r="D19" s="157"/>
      <c r="E19" s="157"/>
      <c r="F19" s="157"/>
      <c r="G19" s="157"/>
      <c r="H19" s="157"/>
      <c r="I19" s="157"/>
      <c r="J19" s="157"/>
      <c r="K19" s="157"/>
      <c r="L19" s="157"/>
      <c r="M19" s="157"/>
      <c r="N19" s="157"/>
      <c r="O19" s="157"/>
      <c r="P19" s="157"/>
      <c r="Q19" s="157"/>
      <c r="R19" s="157"/>
      <c r="S19" s="74"/>
    </row>
    <row r="20" spans="2:19" x14ac:dyDescent="0.2">
      <c r="B20" s="74"/>
      <c r="C20" s="157"/>
      <c r="D20" s="157"/>
      <c r="E20" s="157"/>
      <c r="F20" s="157"/>
      <c r="G20" s="157"/>
      <c r="H20" s="157"/>
      <c r="I20" s="157"/>
      <c r="J20" s="157"/>
      <c r="K20" s="157"/>
      <c r="L20" s="157"/>
      <c r="M20" s="157"/>
      <c r="N20" s="157"/>
      <c r="O20" s="157"/>
      <c r="P20" s="157"/>
      <c r="Q20" s="157"/>
      <c r="R20" s="157"/>
      <c r="S20" s="74"/>
    </row>
    <row r="21" spans="2:19" x14ac:dyDescent="0.2">
      <c r="B21" s="74"/>
      <c r="C21" s="157"/>
      <c r="D21" s="157"/>
      <c r="E21" s="157"/>
      <c r="F21" s="157"/>
      <c r="G21" s="157"/>
      <c r="H21" s="157"/>
      <c r="I21" s="157"/>
      <c r="J21" s="157"/>
      <c r="K21" s="157"/>
      <c r="L21" s="157"/>
      <c r="M21" s="157"/>
      <c r="N21" s="157"/>
      <c r="O21" s="157"/>
      <c r="P21" s="157"/>
      <c r="Q21" s="157"/>
      <c r="R21" s="157"/>
      <c r="S21" s="74"/>
    </row>
    <row r="22" spans="2:19" x14ac:dyDescent="0.2">
      <c r="B22" s="74"/>
      <c r="C22" s="157"/>
      <c r="D22" s="157"/>
      <c r="E22" s="157"/>
      <c r="F22" s="157"/>
      <c r="G22" s="157"/>
      <c r="H22" s="157"/>
      <c r="I22" s="157"/>
      <c r="J22" s="157"/>
      <c r="K22" s="157"/>
      <c r="L22" s="157"/>
      <c r="M22" s="157"/>
      <c r="N22" s="157"/>
      <c r="O22" s="157"/>
      <c r="P22" s="157"/>
      <c r="Q22" s="157"/>
      <c r="R22" s="157"/>
      <c r="S22" s="74"/>
    </row>
    <row r="23" spans="2:19" x14ac:dyDescent="0.2">
      <c r="B23" s="74"/>
      <c r="C23" s="157"/>
      <c r="D23" s="157"/>
      <c r="E23" s="157"/>
      <c r="F23" s="157"/>
      <c r="G23" s="157"/>
      <c r="H23" s="157"/>
      <c r="I23" s="157"/>
      <c r="J23" s="157"/>
      <c r="K23" s="157"/>
      <c r="L23" s="157"/>
      <c r="M23" s="157"/>
      <c r="N23" s="157"/>
      <c r="O23" s="157"/>
      <c r="P23" s="157"/>
      <c r="Q23" s="157"/>
      <c r="R23" s="157"/>
      <c r="S23" s="74"/>
    </row>
    <row r="24" spans="2:19" x14ac:dyDescent="0.2">
      <c r="B24" s="74"/>
      <c r="C24" s="157"/>
      <c r="D24" s="157"/>
      <c r="E24" s="157"/>
      <c r="F24" s="157"/>
      <c r="G24" s="157"/>
      <c r="H24" s="157"/>
      <c r="I24" s="157"/>
      <c r="J24" s="157"/>
      <c r="K24" s="157"/>
      <c r="L24" s="157"/>
      <c r="M24" s="157"/>
      <c r="N24" s="157"/>
      <c r="O24" s="157"/>
      <c r="P24" s="157"/>
      <c r="Q24" s="157"/>
      <c r="R24" s="157"/>
      <c r="S24" s="74"/>
    </row>
    <row r="25" spans="2:19" x14ac:dyDescent="0.2">
      <c r="B25" s="74"/>
      <c r="C25" s="157"/>
      <c r="D25" s="157"/>
      <c r="E25" s="157"/>
      <c r="F25" s="157"/>
      <c r="G25" s="157"/>
      <c r="H25" s="157"/>
      <c r="I25" s="157"/>
      <c r="J25" s="157"/>
      <c r="K25" s="157"/>
      <c r="L25" s="157"/>
      <c r="M25" s="157"/>
      <c r="N25" s="157"/>
      <c r="O25" s="157"/>
      <c r="P25" s="157"/>
      <c r="Q25" s="157"/>
      <c r="R25" s="157"/>
      <c r="S25" s="74"/>
    </row>
    <row r="26" spans="2:19" x14ac:dyDescent="0.2">
      <c r="C26" s="106"/>
      <c r="D26" s="106"/>
      <c r="E26" s="106"/>
      <c r="F26" s="106"/>
      <c r="G26" s="106"/>
      <c r="H26" s="106"/>
      <c r="I26" s="106"/>
      <c r="J26" s="106"/>
      <c r="K26" s="106"/>
      <c r="L26" s="106"/>
      <c r="M26" s="106"/>
    </row>
    <row r="27" spans="2:19" x14ac:dyDescent="0.2">
      <c r="C27" s="106"/>
      <c r="D27" s="106"/>
      <c r="E27" s="106"/>
      <c r="F27" s="106"/>
      <c r="G27" s="106"/>
      <c r="H27" s="106"/>
      <c r="I27" s="106"/>
      <c r="J27" s="106"/>
      <c r="K27" s="106"/>
      <c r="L27" s="106"/>
      <c r="M27" s="106"/>
    </row>
    <row r="28" spans="2:19" x14ac:dyDescent="0.2">
      <c r="C28" s="102"/>
      <c r="D28" s="102"/>
      <c r="E28" s="102"/>
      <c r="F28" s="102"/>
      <c r="G28" s="103"/>
      <c r="H28" s="102"/>
      <c r="I28" s="102"/>
      <c r="J28" s="102"/>
      <c r="K28" s="102"/>
      <c r="L28" s="102"/>
    </row>
    <row r="29" spans="2:19" x14ac:dyDescent="0.2">
      <c r="C29" s="102"/>
      <c r="D29" s="102"/>
      <c r="E29" s="102"/>
      <c r="F29" s="102"/>
      <c r="G29" s="103"/>
      <c r="H29" s="102"/>
      <c r="I29" s="102"/>
      <c r="J29" s="102"/>
      <c r="K29" s="102"/>
      <c r="L29" s="102"/>
    </row>
    <row r="30" spans="2:19" x14ac:dyDescent="0.2">
      <c r="C30" s="102"/>
      <c r="D30" s="102"/>
      <c r="E30" s="102"/>
      <c r="F30" s="102"/>
      <c r="G30" s="103"/>
      <c r="H30" s="102"/>
      <c r="I30" s="102"/>
      <c r="J30" s="102"/>
      <c r="K30" s="102"/>
      <c r="L30" s="102"/>
    </row>
    <row r="31" spans="2:19" x14ac:dyDescent="0.2">
      <c r="C31" s="102"/>
      <c r="D31" s="102"/>
      <c r="E31" s="104"/>
      <c r="F31" s="102"/>
      <c r="G31" s="102"/>
      <c r="H31" s="102"/>
      <c r="I31" s="102"/>
      <c r="J31" s="102"/>
      <c r="K31" s="102"/>
      <c r="L31" s="102"/>
    </row>
    <row r="32" spans="2:19" x14ac:dyDescent="0.2">
      <c r="C32" s="102"/>
      <c r="D32" s="102"/>
      <c r="E32" s="102"/>
      <c r="F32" s="102"/>
      <c r="G32" s="102"/>
      <c r="H32" s="102"/>
      <c r="I32" s="102"/>
      <c r="J32" s="102"/>
      <c r="K32" s="102"/>
      <c r="L32" s="102"/>
    </row>
    <row r="33" spans="3:12" x14ac:dyDescent="0.2">
      <c r="C33" s="102"/>
      <c r="D33" s="102"/>
      <c r="E33" s="102"/>
      <c r="F33" s="102"/>
      <c r="G33" s="102"/>
      <c r="H33" s="102"/>
      <c r="I33" s="102"/>
      <c r="J33" s="102"/>
      <c r="K33" s="102"/>
      <c r="L33" s="102"/>
    </row>
    <row r="34" spans="3:12" x14ac:dyDescent="0.2">
      <c r="C34" s="102"/>
      <c r="D34" s="102"/>
      <c r="E34" s="102"/>
      <c r="F34" s="102"/>
      <c r="G34" s="102"/>
      <c r="H34" s="102"/>
      <c r="I34" s="102"/>
      <c r="J34" s="102"/>
      <c r="K34" s="102"/>
      <c r="L34" s="102"/>
    </row>
    <row r="35" spans="3:12" x14ac:dyDescent="0.2">
      <c r="C35" s="102"/>
      <c r="D35" s="102"/>
      <c r="E35" s="102"/>
      <c r="F35" s="102"/>
      <c r="G35" s="102"/>
      <c r="H35" s="102"/>
      <c r="I35" s="102"/>
      <c r="J35" s="102"/>
      <c r="K35" s="102"/>
      <c r="L35" s="102"/>
    </row>
    <row r="36" spans="3:12" x14ac:dyDescent="0.2">
      <c r="C36" s="102"/>
      <c r="D36" s="102"/>
      <c r="E36" s="102"/>
      <c r="F36" s="102"/>
      <c r="G36" s="102"/>
      <c r="H36" s="102"/>
      <c r="I36" s="102"/>
      <c r="J36" s="102"/>
      <c r="K36" s="102"/>
      <c r="L36" s="102"/>
    </row>
    <row r="37" spans="3:12" x14ac:dyDescent="0.2">
      <c r="C37" s="102"/>
      <c r="D37" s="102"/>
      <c r="E37" s="102"/>
      <c r="F37" s="102"/>
      <c r="G37" s="102"/>
      <c r="H37" s="102"/>
      <c r="I37" s="102"/>
      <c r="J37" s="102"/>
      <c r="K37" s="102"/>
      <c r="L37" s="102"/>
    </row>
    <row r="38" spans="3:12" x14ac:dyDescent="0.2">
      <c r="C38" s="102"/>
      <c r="D38" s="102"/>
      <c r="E38" s="102"/>
      <c r="F38" s="102"/>
      <c r="G38" s="102"/>
      <c r="H38" s="102"/>
      <c r="I38" s="102"/>
      <c r="J38" s="102"/>
      <c r="K38" s="102"/>
      <c r="L38" s="102"/>
    </row>
    <row r="39" spans="3:12" x14ac:dyDescent="0.2">
      <c r="C39" s="102"/>
      <c r="D39" s="102"/>
      <c r="E39" s="102"/>
      <c r="F39" s="102"/>
      <c r="G39" s="102"/>
      <c r="H39" s="102"/>
      <c r="I39" s="102"/>
      <c r="J39" s="102"/>
      <c r="K39" s="102"/>
      <c r="L39" s="102"/>
    </row>
    <row r="40" spans="3:12" x14ac:dyDescent="0.2">
      <c r="C40" s="102"/>
      <c r="D40" s="102"/>
      <c r="E40" s="102"/>
      <c r="F40" s="102"/>
      <c r="G40" s="102"/>
      <c r="H40" s="102"/>
      <c r="I40" s="102"/>
      <c r="J40" s="102"/>
      <c r="K40" s="102"/>
      <c r="L40" s="102"/>
    </row>
    <row r="41" spans="3:12" x14ac:dyDescent="0.2">
      <c r="C41" s="102"/>
      <c r="D41" s="102"/>
      <c r="E41" s="102"/>
      <c r="F41" s="102"/>
      <c r="G41" s="102"/>
      <c r="H41" s="102"/>
      <c r="I41" s="102"/>
      <c r="J41" s="102"/>
      <c r="K41" s="102"/>
      <c r="L41" s="102"/>
    </row>
    <row r="42" spans="3:12" x14ac:dyDescent="0.2">
      <c r="C42" s="102"/>
      <c r="D42" s="102"/>
      <c r="E42" s="102"/>
      <c r="F42" s="102"/>
      <c r="G42" s="102"/>
      <c r="H42" s="102"/>
      <c r="I42" s="102"/>
      <c r="J42" s="102"/>
      <c r="K42" s="102"/>
      <c r="L42" s="102"/>
    </row>
    <row r="43" spans="3:12" x14ac:dyDescent="0.2">
      <c r="C43" s="102"/>
      <c r="D43" s="102"/>
      <c r="E43" s="102"/>
      <c r="F43" s="102"/>
      <c r="G43" s="102"/>
      <c r="H43" s="102"/>
      <c r="I43" s="102"/>
      <c r="J43" s="102"/>
      <c r="K43" s="102"/>
      <c r="L43" s="102"/>
    </row>
    <row r="44" spans="3:12" x14ac:dyDescent="0.2">
      <c r="C44" s="102"/>
      <c r="D44" s="102"/>
      <c r="E44" s="102"/>
      <c r="F44" s="102"/>
      <c r="G44" s="102"/>
      <c r="H44" s="102"/>
      <c r="I44" s="102"/>
      <c r="J44" s="102"/>
      <c r="K44" s="102"/>
      <c r="L44" s="102"/>
    </row>
    <row r="45" spans="3:12" x14ac:dyDescent="0.2">
      <c r="C45" s="102"/>
      <c r="D45" s="102"/>
      <c r="E45" s="102"/>
      <c r="F45" s="102"/>
      <c r="G45" s="102"/>
      <c r="H45" s="102"/>
      <c r="I45" s="102"/>
      <c r="J45" s="102"/>
      <c r="K45" s="102"/>
      <c r="L45" s="102"/>
    </row>
    <row r="46" spans="3:12" x14ac:dyDescent="0.2">
      <c r="C46" s="102"/>
      <c r="D46" s="102"/>
      <c r="E46" s="102"/>
      <c r="F46" s="102"/>
      <c r="G46" s="102"/>
      <c r="H46" s="102"/>
      <c r="I46" s="102"/>
      <c r="J46" s="102"/>
      <c r="K46" s="102"/>
      <c r="L46" s="102"/>
    </row>
    <row r="47" spans="3:12" x14ac:dyDescent="0.2">
      <c r="C47" s="102"/>
      <c r="D47" s="102"/>
      <c r="E47" s="102"/>
      <c r="F47" s="102"/>
      <c r="G47" s="102"/>
      <c r="H47" s="102"/>
      <c r="I47" s="102"/>
      <c r="J47" s="102"/>
      <c r="K47" s="102"/>
      <c r="L47" s="102"/>
    </row>
    <row r="48" spans="3:12" x14ac:dyDescent="0.2">
      <c r="C48" s="102"/>
      <c r="D48" s="102"/>
      <c r="E48" s="102"/>
      <c r="F48" s="105"/>
      <c r="G48" s="102"/>
      <c r="H48" s="102"/>
      <c r="I48" s="102"/>
      <c r="J48" s="102"/>
      <c r="K48" s="102"/>
      <c r="L48" s="102"/>
    </row>
    <row r="49" spans="3:12" x14ac:dyDescent="0.2">
      <c r="C49" s="102"/>
      <c r="D49" s="105"/>
      <c r="E49" s="105"/>
      <c r="F49" s="105"/>
      <c r="G49" s="102"/>
      <c r="H49" s="102"/>
      <c r="I49" s="102"/>
      <c r="J49" s="102"/>
      <c r="K49" s="102"/>
      <c r="L49" s="102"/>
    </row>
    <row r="50" spans="3:12" x14ac:dyDescent="0.2">
      <c r="C50" s="105"/>
      <c r="D50" s="105"/>
      <c r="E50" s="105"/>
      <c r="F50" s="105"/>
      <c r="G50" s="102"/>
      <c r="H50" s="102"/>
      <c r="I50" s="102"/>
      <c r="J50" s="102"/>
      <c r="K50" s="102"/>
      <c r="L50" s="102"/>
    </row>
    <row r="51" spans="3:12" x14ac:dyDescent="0.2">
      <c r="C51" s="105"/>
      <c r="D51" s="105"/>
      <c r="E51" s="105"/>
      <c r="F51" s="105"/>
      <c r="G51" s="102"/>
      <c r="H51" s="102"/>
      <c r="I51" s="102"/>
      <c r="J51" s="102"/>
      <c r="K51" s="102"/>
      <c r="L51" s="102"/>
    </row>
    <row r="52" spans="3:12" x14ac:dyDescent="0.2">
      <c r="C52" s="105"/>
      <c r="D52" s="105"/>
      <c r="E52" s="105"/>
      <c r="F52" s="105"/>
      <c r="G52" s="102"/>
      <c r="H52" s="102"/>
      <c r="I52" s="102"/>
      <c r="J52" s="102"/>
      <c r="K52" s="102"/>
      <c r="L52" s="102"/>
    </row>
    <row r="53" spans="3:12" x14ac:dyDescent="0.2">
      <c r="C53" s="105"/>
      <c r="D53" s="105"/>
      <c r="E53" s="105"/>
      <c r="F53" s="105"/>
      <c r="G53" s="102"/>
      <c r="H53" s="102"/>
      <c r="I53" s="102"/>
      <c r="J53" s="102"/>
      <c r="K53" s="102"/>
      <c r="L53" s="102"/>
    </row>
    <row r="54" spans="3:12" x14ac:dyDescent="0.2">
      <c r="C54" s="105"/>
      <c r="D54" s="105"/>
      <c r="E54" s="105"/>
      <c r="F54" s="105"/>
      <c r="G54" s="102"/>
      <c r="H54" s="102"/>
      <c r="I54" s="102"/>
      <c r="J54" s="102"/>
      <c r="K54" s="102"/>
      <c r="L54" s="102"/>
    </row>
    <row r="55" spans="3:12" x14ac:dyDescent="0.2">
      <c r="C55" s="105"/>
      <c r="D55" s="105"/>
      <c r="E55" s="105"/>
      <c r="F55" s="105"/>
      <c r="G55" s="102"/>
      <c r="H55" s="102"/>
      <c r="I55" s="102"/>
      <c r="J55" s="102"/>
      <c r="K55" s="102"/>
      <c r="L55" s="102"/>
    </row>
    <row r="56" spans="3:12" x14ac:dyDescent="0.2">
      <c r="C56" s="105"/>
      <c r="D56" s="105"/>
      <c r="E56" s="105"/>
      <c r="F56" s="105"/>
      <c r="G56" s="102"/>
      <c r="H56" s="102"/>
      <c r="I56" s="102"/>
      <c r="J56" s="102"/>
      <c r="K56" s="102"/>
      <c r="L56" s="102"/>
    </row>
    <row r="57" spans="3:12" x14ac:dyDescent="0.2">
      <c r="C57" s="105"/>
      <c r="D57" s="105"/>
      <c r="E57" s="105"/>
      <c r="F57" s="105"/>
      <c r="G57" s="102"/>
      <c r="H57" s="102"/>
      <c r="I57" s="102"/>
      <c r="J57" s="102"/>
      <c r="K57" s="102"/>
      <c r="L57" s="102"/>
    </row>
    <row r="58" spans="3:12" x14ac:dyDescent="0.2">
      <c r="C58" s="105"/>
      <c r="D58" s="105"/>
      <c r="E58" s="105"/>
      <c r="F58" s="105"/>
      <c r="G58" s="102"/>
      <c r="H58" s="102"/>
      <c r="I58" s="102"/>
      <c r="J58" s="102"/>
      <c r="K58" s="102"/>
      <c r="L58" s="102"/>
    </row>
    <row r="59" spans="3:12" x14ac:dyDescent="0.2">
      <c r="C59" s="105"/>
      <c r="D59" s="105"/>
      <c r="E59" s="105"/>
      <c r="F59" s="105"/>
      <c r="G59" s="102"/>
      <c r="H59" s="102"/>
      <c r="I59" s="102"/>
      <c r="J59" s="102"/>
      <c r="K59" s="102"/>
      <c r="L59" s="102"/>
    </row>
    <row r="60" spans="3:12" x14ac:dyDescent="0.2">
      <c r="C60" s="105"/>
      <c r="D60" s="105"/>
      <c r="E60" s="105"/>
      <c r="F60" s="105"/>
    </row>
    <row r="61" spans="3:12" x14ac:dyDescent="0.2">
      <c r="C61" s="105"/>
      <c r="D61" s="105"/>
      <c r="E61" s="105"/>
      <c r="F61" s="105"/>
    </row>
    <row r="62" spans="3:12" x14ac:dyDescent="0.2">
      <c r="C62" s="105"/>
      <c r="D62" s="105"/>
      <c r="E62" s="105"/>
      <c r="F62" s="105"/>
    </row>
    <row r="63" spans="3:12" x14ac:dyDescent="0.2">
      <c r="C63" s="105"/>
      <c r="D63" s="105"/>
      <c r="E63" s="105"/>
      <c r="F63" s="105"/>
    </row>
    <row r="64" spans="3:12" x14ac:dyDescent="0.2">
      <c r="C64" s="105"/>
      <c r="D64" s="105"/>
      <c r="E64" s="105"/>
      <c r="F64" s="105"/>
    </row>
    <row r="65" spans="3:3" x14ac:dyDescent="0.2">
      <c r="C65" s="105"/>
    </row>
  </sheetData>
  <mergeCells count="3">
    <mergeCell ref="B1:S1"/>
    <mergeCell ref="C19:R25"/>
    <mergeCell ref="B3:S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37"/>
  <sheetViews>
    <sheetView zoomScaleNormal="100" workbookViewId="0">
      <selection activeCell="F18" sqref="F18"/>
    </sheetView>
  </sheetViews>
  <sheetFormatPr defaultRowHeight="15" x14ac:dyDescent="0.25"/>
  <cols>
    <col min="1" max="1" width="0.5703125" style="114" customWidth="1"/>
    <col min="2" max="11" width="9.140625" style="114"/>
    <col min="12" max="12" width="2.5703125" style="114" customWidth="1"/>
    <col min="13" max="22" width="9.140625" style="114"/>
    <col min="23" max="23" width="0.7109375" style="114" customWidth="1"/>
    <col min="24" max="16384" width="9.140625" style="114"/>
  </cols>
  <sheetData>
    <row r="1" spans="1:47" ht="4.5" customHeight="1" x14ac:dyDescent="0.25"/>
    <row r="2" spans="1:47" customFormat="1" ht="18.75" x14ac:dyDescent="0.3">
      <c r="A2" s="114"/>
      <c r="B2" s="159" t="s">
        <v>233</v>
      </c>
      <c r="C2" s="159"/>
      <c r="D2" s="159"/>
      <c r="E2" s="159"/>
      <c r="F2" s="159"/>
      <c r="G2" s="159"/>
      <c r="H2" s="159"/>
      <c r="I2" s="159"/>
      <c r="J2" s="159"/>
      <c r="K2" s="159"/>
      <c r="M2" s="159" t="s">
        <v>232</v>
      </c>
      <c r="N2" s="159"/>
      <c r="O2" s="159"/>
      <c r="P2" s="159"/>
      <c r="Q2" s="159"/>
      <c r="R2" s="159"/>
      <c r="S2" s="159"/>
      <c r="T2" s="159"/>
      <c r="U2" s="159"/>
      <c r="V2" s="159"/>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row>
    <row r="3" spans="1:47" customFormat="1" x14ac:dyDescent="0.25">
      <c r="A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row>
    <row r="4" spans="1:47" customFormat="1" x14ac:dyDescent="0.25">
      <c r="A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row>
    <row r="5" spans="1:47" customFormat="1" x14ac:dyDescent="0.25">
      <c r="A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row>
    <row r="6" spans="1:47" customFormat="1" x14ac:dyDescent="0.25">
      <c r="A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row>
    <row r="7" spans="1:47" customFormat="1" x14ac:dyDescent="0.25">
      <c r="A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row>
    <row r="8" spans="1:47" customFormat="1" x14ac:dyDescent="0.25">
      <c r="A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row>
    <row r="9" spans="1:47" customFormat="1" x14ac:dyDescent="0.25">
      <c r="A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row>
    <row r="10" spans="1:47" customFormat="1" x14ac:dyDescent="0.25">
      <c r="A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row>
    <row r="11" spans="1:47" customFormat="1" x14ac:dyDescent="0.25">
      <c r="A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row>
    <row r="12" spans="1:47" customFormat="1" x14ac:dyDescent="0.25">
      <c r="A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row>
    <row r="13" spans="1:47" customFormat="1" x14ac:dyDescent="0.25">
      <c r="A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row>
    <row r="14" spans="1:47" customFormat="1" x14ac:dyDescent="0.25">
      <c r="A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row>
    <row r="15" spans="1:47" customFormat="1" x14ac:dyDescent="0.25">
      <c r="A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row>
    <row r="16" spans="1:47" customFormat="1" x14ac:dyDescent="0.25">
      <c r="A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row>
    <row r="17" spans="1:47" customFormat="1" x14ac:dyDescent="0.25">
      <c r="A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row>
    <row r="18" spans="1:47" customFormat="1" ht="18.75" x14ac:dyDescent="0.3">
      <c r="A18" s="114"/>
      <c r="M18" s="159" t="s">
        <v>231</v>
      </c>
      <c r="N18" s="159"/>
      <c r="O18" s="159"/>
      <c r="P18" s="159"/>
      <c r="Q18" s="159"/>
      <c r="R18" s="159"/>
      <c r="S18" s="159"/>
      <c r="T18" s="159"/>
      <c r="U18" s="159"/>
      <c r="V18" s="159"/>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row>
    <row r="19" spans="1:47" customFormat="1" x14ac:dyDescent="0.25">
      <c r="A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row>
    <row r="20" spans="1:47" customFormat="1" x14ac:dyDescent="0.25">
      <c r="A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row>
    <row r="21" spans="1:47" customFormat="1" ht="15" customHeight="1" x14ac:dyDescent="0.25">
      <c r="A21" s="114"/>
      <c r="G21" s="160" t="s">
        <v>237</v>
      </c>
      <c r="H21" s="160"/>
      <c r="I21" s="160"/>
      <c r="J21" s="160"/>
      <c r="K21" s="160"/>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row>
    <row r="22" spans="1:47" customFormat="1" x14ac:dyDescent="0.25">
      <c r="A22" s="114"/>
      <c r="G22" s="160"/>
      <c r="H22" s="160"/>
      <c r="I22" s="160"/>
      <c r="J22" s="160"/>
      <c r="K22" s="160"/>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row>
    <row r="23" spans="1:47" customFormat="1" x14ac:dyDescent="0.25">
      <c r="A23" s="114"/>
      <c r="G23" s="160"/>
      <c r="H23" s="160"/>
      <c r="I23" s="160"/>
      <c r="J23" s="160"/>
      <c r="K23" s="160"/>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row>
    <row r="24" spans="1:47" customFormat="1" x14ac:dyDescent="0.25">
      <c r="A24" s="114"/>
      <c r="G24" s="160"/>
      <c r="H24" s="160"/>
      <c r="I24" s="160"/>
      <c r="J24" s="160"/>
      <c r="K24" s="160"/>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row>
    <row r="25" spans="1:47" customFormat="1" x14ac:dyDescent="0.25">
      <c r="A25" s="114"/>
      <c r="G25" s="160"/>
      <c r="H25" s="160"/>
      <c r="I25" s="160"/>
      <c r="J25" s="160"/>
      <c r="K25" s="160"/>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row>
    <row r="26" spans="1:47" customFormat="1" x14ac:dyDescent="0.25">
      <c r="A26" s="114"/>
      <c r="G26" s="160"/>
      <c r="H26" s="160"/>
      <c r="I26" s="160"/>
      <c r="J26" s="160"/>
      <c r="K26" s="160"/>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row>
    <row r="27" spans="1:47" customFormat="1" x14ac:dyDescent="0.25">
      <c r="A27" s="114"/>
      <c r="G27" s="160"/>
      <c r="H27" s="160"/>
      <c r="I27" s="160"/>
      <c r="J27" s="160"/>
      <c r="K27" s="160"/>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row>
    <row r="28" spans="1:47" customFormat="1" ht="18.75" x14ac:dyDescent="0.3">
      <c r="A28" s="114"/>
      <c r="L28" s="109"/>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row>
    <row r="29" spans="1:47" customFormat="1" x14ac:dyDescent="0.25">
      <c r="A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row>
    <row r="30" spans="1:47" customFormat="1" x14ac:dyDescent="0.25">
      <c r="A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row>
    <row r="31" spans="1:47" customFormat="1" x14ac:dyDescent="0.25">
      <c r="A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row>
    <row r="32" spans="1:47" customFormat="1" x14ac:dyDescent="0.25">
      <c r="A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row>
    <row r="33" spans="1:47" customFormat="1" x14ac:dyDescent="0.25">
      <c r="A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row>
    <row r="34" spans="1:47" customFormat="1" x14ac:dyDescent="0.25">
      <c r="A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row>
    <row r="35" spans="1:47" customFormat="1" x14ac:dyDescent="0.25">
      <c r="A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row>
    <row r="36" spans="1:47" customFormat="1" x14ac:dyDescent="0.25">
      <c r="A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row>
    <row r="37" spans="1:47" customFormat="1" x14ac:dyDescent="0.25">
      <c r="A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row>
  </sheetData>
  <mergeCells count="4">
    <mergeCell ref="M18:V18"/>
    <mergeCell ref="M2:V2"/>
    <mergeCell ref="B2:K2"/>
    <mergeCell ref="G21:K2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TestrBot BOM</vt:lpstr>
      <vt:lpstr>Actuator Screw Design</vt:lpstr>
      <vt:lpstr>Signal Condition</vt:lpstr>
      <vt:lpstr>Wiring Diagrams</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Graham</dc:creator>
  <cp:lastModifiedBy>Michael</cp:lastModifiedBy>
  <dcterms:created xsi:type="dcterms:W3CDTF">2012-04-12T14:22:55Z</dcterms:created>
  <dcterms:modified xsi:type="dcterms:W3CDTF">2017-04-13T03:22:38Z</dcterms:modified>
</cp:coreProperties>
</file>